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<sst xmlns="http://schemas.openxmlformats.org/spreadsheetml/2006/main" count="358" uniqueCount="109">
  <si>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</si>
  <si>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</si>
  <si>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</si>
  <si>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</si>
  <si>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</si>
  <si>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</si>
  <si>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</si>
  <si>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</si>
  <si>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</si>
  <si>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</si>
  <si>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</si>
  <si>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</si>
  <si>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</si>
  <si>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</si>
  <si>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</si>
  <si>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</si>
  <si>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</si>
  <si>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</si>
  <si>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</si>
  <si>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</si>
  <si>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</si>
  <si>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</si>
  <si>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</si>
  <si>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</si>
  <si>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</si>
  <si>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</si>
  <si>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</si>
  <si>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</si>
  <si>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</si>
  <si>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</si>
  <si>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</si>
  <si>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</si>
  <si>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</si>
  <si>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</si>
  <si>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</si>
  <si>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</si>
  <si>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</si>
  <si>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</si>
  <si>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</si>
  <si>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</si>
  <si>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</si>
  <si>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</si>
  <si>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</si>
  <si>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</si>
  <si>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</si>
  <si>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</si>
  <si>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</si>
  <si>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</si>
  <si>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</si>
  <si>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</si>
  <si>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</si>
  <si>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</si>
  <si>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</si>
  <si>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</si>
  <si>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</si>
  <si>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</si>
  <si>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</si>
  <si>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</si>
  <si>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</si>
  <si>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</si>
  <si>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</si>
  <si>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</si>
  <si>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</si>
  <si>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</si>
  <si>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</si>
  <si>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</si>
  <si>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</si>
  <si>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</si>
  <si>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</si>
  <si>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</si>
  <si>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</si>
  <si>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</si>
  <si>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</si>
  <si>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</si>
  <si>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</si>
  <si>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</si>
  <si>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</si>
  <si>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</si>
  <si>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</si>
  <si>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</si>
  <si>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</si>
  <si>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</si>
  <si>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</si>
  <si>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</si>
  <si>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</si>
  <si>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</si>
  <si>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</si>
  <si>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</si>
  <si>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</si>
  <si>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</si>
  <si>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</si>
  <si>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</si>
  <si>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</si>
  <si>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</si>
  <si>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</si>
  <si>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</si>
  <si>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</si>
  <si>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</si>
  <si>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</si>
  <si>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</si>
  <si>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</si>
  <si>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</si>
  <si>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</si>
  <si>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</si>
  <si>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</si>
  <si>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</si>
  <si>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CLAY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</si>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</sst>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7">
      <alignment/>
      <protection/>
    </xf>
    <xf numFmtId="0" fontId="2" fillId="0" borderId="10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Continuous"/>
      <protection/>
    </xf>
    <xf numFmtId="0" fontId="2" fillId="0" borderId="12" xfId="57" applyFont="1" applyBorder="1" applyAlignment="1">
      <alignment horizontal="centerContinuous"/>
      <protection/>
    </xf>
    <xf numFmtId="0" fontId="4" fillId="0" borderId="12" xfId="57" applyFont="1" applyBorder="1" applyAlignment="1">
      <alignment horizontal="centerContinuous"/>
      <protection/>
    </xf>
    <xf numFmtId="0" fontId="4" fillId="33" borderId="13" xfId="57" applyFont="1" applyFill="1" applyBorder="1" applyAlignment="1">
      <alignment horizontal="centerContinuous"/>
      <protection/>
    </xf>
    <xf numFmtId="0" fontId="4" fillId="0" borderId="0" xfId="57" applyFont="1" applyFill="1" applyBorder="1" applyAlignment="1">
      <alignment horizontal="centerContinuous"/>
      <protection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2" fillId="0" borderId="14" xfId="57" applyFont="1" applyBorder="1" applyAlignment="1">
      <alignment horizontal="center"/>
      <protection/>
    </xf>
    <xf numFmtId="0" fontId="2" fillId="0" borderId="15" xfId="57" applyFont="1" applyBorder="1" applyAlignment="1">
      <alignment horizontal="centerContinuous"/>
      <protection/>
    </xf>
    <xf numFmtId="0" fontId="2" fillId="0" borderId="0" xfId="57" applyFont="1" applyBorder="1" applyAlignment="1">
      <alignment horizontal="centerContinuous"/>
      <protection/>
    </xf>
    <xf numFmtId="0" fontId="0" fillId="0" borderId="0" xfId="57" applyFont="1" applyBorder="1" applyAlignment="1">
      <alignment horizontal="centerContinuous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36" borderId="16" xfId="57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7" applyFont="1" applyBorder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/>
      <protection/>
    </xf>
    <xf numFmtId="0" fontId="0" fillId="0" borderId="17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7" xfId="57" applyFont="1" applyFill="1" applyBorder="1" applyAlignment="1">
      <alignment horizontal="center"/>
      <protection/>
    </xf>
    <xf numFmtId="0" fontId="4" fillId="36" borderId="18" xfId="57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7" applyFont="1" applyFill="1" applyBorder="1" applyAlignment="1">
      <alignment horizontal="center"/>
      <protection/>
    </xf>
    <xf numFmtId="37" fontId="0" fillId="0" borderId="33" xfId="57" applyNumberFormat="1" applyFont="1" applyFill="1" applyBorder="1" applyAlignment="1">
      <alignment horizontal="right"/>
      <protection/>
    </xf>
    <xf numFmtId="37" fontId="0" fillId="0" borderId="34" xfId="57" applyNumberFormat="1" applyFont="1" applyFill="1" applyBorder="1" applyAlignment="1">
      <alignment horizontal="right"/>
      <protection/>
    </xf>
    <xf numFmtId="10" fontId="0" fillId="0" borderId="34" xfId="57" applyNumberFormat="1" applyFont="1" applyFill="1" applyBorder="1" applyAlignment="1">
      <alignment horizontal="right"/>
      <protection/>
    </xf>
    <xf numFmtId="3" fontId="0" fillId="0" borderId="34" xfId="57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7" applyNumberFormat="1" applyFont="1" applyFill="1" applyBorder="1" applyAlignment="1">
      <alignment horizontal="right"/>
      <protection/>
    </xf>
    <xf numFmtId="37" fontId="0" fillId="0" borderId="36" xfId="57" applyNumberFormat="1" applyFont="1" applyFill="1" applyBorder="1" applyAlignment="1">
      <alignment horizontal="right"/>
      <protection/>
    </xf>
    <xf numFmtId="10" fontId="0" fillId="0" borderId="36" xfId="57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7" applyNumberFormat="1">
      <alignment/>
      <protection/>
    </xf>
    <xf numFmtId="10" fontId="4" fillId="0" borderId="34" xfId="57" applyNumberFormat="1" applyFont="1" applyFill="1" applyBorder="1" applyAlignment="1">
      <alignment horizontal="right"/>
      <protection/>
    </xf>
    <xf numFmtId="10" fontId="4" fillId="36" borderId="26" xfId="57" applyNumberFormat="1" applyFont="1" applyFill="1" applyBorder="1">
      <alignment/>
      <protection/>
    </xf>
    <xf numFmtId="10" fontId="4" fillId="40" borderId="26" xfId="57" applyNumberFormat="1" applyFont="1" applyFill="1" applyBorder="1">
      <alignment/>
      <protection/>
    </xf>
    <xf numFmtId="0" fontId="2" fillId="0" borderId="37" xfId="57" applyFont="1" applyFill="1" applyBorder="1" applyAlignment="1">
      <alignment horizontal="center"/>
      <protection/>
    </xf>
    <xf numFmtId="37" fontId="0" fillId="0" borderId="38" xfId="57" applyNumberFormat="1" applyFont="1" applyFill="1" applyBorder="1" applyAlignment="1">
      <alignment horizontal="right"/>
      <protection/>
    </xf>
    <xf numFmtId="37" fontId="0" fillId="0" borderId="39" xfId="57" applyNumberFormat="1" applyFont="1" applyFill="1" applyBorder="1" applyAlignment="1">
      <alignment horizontal="right"/>
      <protection/>
    </xf>
    <xf numFmtId="10" fontId="0" fillId="0" borderId="39" xfId="57" applyNumberFormat="1" applyFont="1" applyFill="1" applyBorder="1" applyAlignment="1">
      <alignment horizontal="right"/>
      <protection/>
    </xf>
    <xf numFmtId="3" fontId="0" fillId="0" borderId="39" xfId="57" applyNumberFormat="1" applyFont="1" applyFill="1" applyBorder="1" applyAlignment="1">
      <alignment horizontal="right"/>
      <protection/>
    </xf>
    <xf numFmtId="10" fontId="4" fillId="36" borderId="40" xfId="57" applyNumberFormat="1" applyFont="1" applyFill="1" applyBorder="1">
      <alignment/>
      <protection/>
    </xf>
    <xf numFmtId="10" fontId="4" fillId="37" borderId="40" xfId="57" applyNumberFormat="1" applyFont="1" applyFill="1" applyBorder="1">
      <alignment/>
      <protection/>
    </xf>
    <xf numFmtId="0" fontId="6" fillId="0" borderId="27" xfId="57" applyFont="1" applyBorder="1" applyAlignment="1">
      <alignment horizontal="center"/>
      <protection/>
    </xf>
    <xf numFmtId="10" fontId="2" fillId="0" borderId="41" xfId="57" applyNumberFormat="1" applyFont="1" applyFill="1" applyBorder="1" applyAlignment="1">
      <alignment horizontal="center"/>
      <protection/>
    </xf>
    <xf numFmtId="10" fontId="2" fillId="0" borderId="42" xfId="57" applyNumberFormat="1" applyFont="1" applyFill="1" applyBorder="1" applyAlignment="1">
      <alignment horizontal="center"/>
      <protection/>
    </xf>
    <xf numFmtId="0" fontId="0" fillId="0" borderId="42" xfId="57" applyFont="1" applyBorder="1" applyAlignment="1">
      <alignment horizontal="right"/>
      <protection/>
    </xf>
    <xf numFmtId="0" fontId="0" fillId="0" borderId="42" xfId="57" applyFont="1" applyBorder="1" applyAlignment="1" quotePrefix="1">
      <alignment horizontal="right"/>
      <protection/>
    </xf>
    <xf numFmtId="10" fontId="2" fillId="41" borderId="29" xfId="57" applyNumberFormat="1" applyFont="1" applyFill="1" applyBorder="1" applyAlignment="1">
      <alignment horizontal="right"/>
      <protection/>
    </xf>
    <xf numFmtId="10" fontId="0" fillId="36" borderId="30" xfId="57" applyNumberFormat="1" applyFont="1" applyFill="1" applyBorder="1" applyAlignment="1">
      <alignment horizontal="right"/>
      <protection/>
    </xf>
    <xf numFmtId="0" fontId="0" fillId="0" borderId="42" xfId="57" applyFont="1" applyBorder="1">
      <alignment/>
      <protection/>
    </xf>
    <xf numFmtId="3" fontId="0" fillId="0" borderId="42" xfId="57" applyNumberFormat="1" applyFont="1" applyFill="1" applyBorder="1" applyAlignment="1">
      <alignment horizontal="right"/>
      <protection/>
    </xf>
    <xf numFmtId="0" fontId="0" fillId="37" borderId="30" xfId="57" applyFont="1" applyFill="1" applyBorder="1">
      <alignment/>
      <protection/>
    </xf>
    <xf numFmtId="0" fontId="2" fillId="0" borderId="17" xfId="57" applyFont="1" applyFill="1" applyBorder="1">
      <alignment/>
      <protection/>
    </xf>
    <xf numFmtId="37" fontId="0" fillId="0" borderId="17" xfId="57" applyNumberFormat="1" applyFont="1" applyFill="1" applyBorder="1" applyAlignment="1">
      <alignment horizontal="right"/>
      <protection/>
    </xf>
    <xf numFmtId="37" fontId="0" fillId="0" borderId="0" xfId="57" applyNumberFormat="1" applyFont="1" applyFill="1" applyBorder="1" applyAlignment="1">
      <alignment horizontal="right"/>
      <protection/>
    </xf>
    <xf numFmtId="3" fontId="0" fillId="0" borderId="0" xfId="57" applyNumberFormat="1" applyFont="1" applyFill="1" applyBorder="1" applyAlignment="1">
      <alignment horizontal="right"/>
      <protection/>
    </xf>
    <xf numFmtId="10" fontId="4" fillId="0" borderId="0" xfId="57" applyNumberFormat="1" applyFont="1" applyFill="1" applyBorder="1" applyAlignment="1">
      <alignment horizontal="right"/>
      <protection/>
    </xf>
    <xf numFmtId="10" fontId="4" fillId="0" borderId="0" xfId="57" applyNumberFormat="1" applyFont="1" applyFill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42" borderId="13" xfId="57" applyFont="1" applyFill="1" applyBorder="1" applyAlignment="1">
      <alignment horizontal="centerContinuous"/>
      <protection/>
    </xf>
    <xf numFmtId="0" fontId="0" fillId="0" borderId="43" xfId="57" applyFont="1" applyFill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43" borderId="16" xfId="57" applyFont="1" applyFill="1" applyBorder="1" applyAlignment="1">
      <alignment horizontal="center"/>
      <protection/>
    </xf>
    <xf numFmtId="0" fontId="0" fillId="0" borderId="44" xfId="57" applyFont="1" applyBorder="1" applyAlignment="1">
      <alignment horizontal="center"/>
      <protection/>
    </xf>
    <xf numFmtId="0" fontId="4" fillId="43" borderId="18" xfId="57" applyFont="1" applyFill="1" applyBorder="1" applyAlignment="1">
      <alignment horizontal="center"/>
      <protection/>
    </xf>
    <xf numFmtId="3" fontId="0" fillId="0" borderId="36" xfId="57" applyNumberFormat="1" applyFont="1" applyFill="1" applyBorder="1" applyAlignment="1">
      <alignment horizontal="right"/>
      <protection/>
    </xf>
    <xf numFmtId="3" fontId="0" fillId="0" borderId="36" xfId="57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7" applyFont="1" applyFill="1" applyAlignment="1">
      <alignment horizontal="left"/>
      <protection/>
    </xf>
    <xf numFmtId="3" fontId="0" fillId="0" borderId="34" xfId="57" applyNumberFormat="1" applyBorder="1">
      <alignment/>
      <protection/>
    </xf>
    <xf numFmtId="10" fontId="4" fillId="43" borderId="26" xfId="57" applyNumberFormat="1" applyFont="1" applyFill="1" applyBorder="1">
      <alignment/>
      <protection/>
    </xf>
    <xf numFmtId="37" fontId="4" fillId="0" borderId="0" xfId="57" applyNumberFormat="1" applyFont="1" applyFill="1" applyBorder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7" applyNumberFormat="1" applyFont="1" applyFill="1" applyBorder="1">
      <alignment/>
      <protection/>
    </xf>
    <xf numFmtId="10" fontId="2" fillId="0" borderId="28" xfId="57" applyNumberFormat="1" applyFont="1" applyFill="1" applyBorder="1" applyAlignment="1">
      <alignment horizontal="center"/>
      <protection/>
    </xf>
    <xf numFmtId="10" fontId="2" fillId="0" borderId="29" xfId="57" applyNumberFormat="1" applyFont="1" applyFill="1" applyBorder="1" applyAlignment="1">
      <alignment horizontal="center"/>
      <protection/>
    </xf>
    <xf numFmtId="0" fontId="0" fillId="43" borderId="30" xfId="57" applyFont="1" applyFill="1" applyBorder="1">
      <alignment/>
      <protection/>
    </xf>
    <xf numFmtId="0" fontId="4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23" xfId="57" applyFont="1" applyFill="1" applyBorder="1" applyAlignment="1">
      <alignment horizontal="center"/>
      <protection/>
    </xf>
    <xf numFmtId="10" fontId="6" fillId="0" borderId="0" xfId="57" applyNumberFormat="1" applyFont="1" applyFill="1" applyBorder="1" applyAlignment="1">
      <alignment horizontal="right"/>
      <protection/>
    </xf>
    <xf numFmtId="0" fontId="0" fillId="0" borderId="0" xfId="57" applyFill="1" quotePrefix="1">
      <alignment/>
      <protection/>
    </xf>
    <xf numFmtId="0" fontId="2" fillId="36" borderId="23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0" fontId="9" fillId="0" borderId="0" xfId="57" applyFont="1" applyAlignment="1">
      <alignment horizontal="right"/>
      <protection/>
    </xf>
    <xf numFmtId="0" fontId="9" fillId="0" borderId="0" xfId="57" applyFont="1" applyAlignment="1" quotePrefix="1">
      <alignment horizontal="left"/>
      <protection/>
    </xf>
    <xf numFmtId="0" fontId="2" fillId="0" borderId="0" xfId="57" applyFont="1" applyAlignment="1">
      <alignment horizontal="center"/>
      <protection/>
    </xf>
    <xf numFmtId="44" fontId="0" fillId="0" borderId="0" xfId="47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4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4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4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4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2" fillId="48" borderId="23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25"/>
          <c:w val="0.92925"/>
          <c:h val="0.853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5732401"/>
        <c:axId val="8938426"/>
      </c:line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8938426"/>
        <c:crosses val="autoZero"/>
        <c:auto val="0"/>
        <c:lblOffset val="100"/>
        <c:tickLblSkip val="1"/>
        <c:noMultiLvlLbl val="0"/>
      </c:catAx>
      <c:valAx>
        <c:axId val="89384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3240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3336971"/>
        <c:axId val="52923876"/>
      </c:line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2923876"/>
        <c:crosses val="autoZero"/>
        <c:auto val="0"/>
        <c:lblOffset val="100"/>
        <c:tickLblSkip val="1"/>
        <c:noMultiLvlLbl val="0"/>
      </c:catAx>
      <c:valAx>
        <c:axId val="5292387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3697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975534"/>
        <c:crosses val="autoZero"/>
        <c:auto val="0"/>
        <c:lblOffset val="100"/>
        <c:tickLblSkip val="1"/>
        <c:noMultiLvlLbl val="0"/>
      </c:catAx>
      <c:valAx>
        <c:axId val="589755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5283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35">
        <row r="3">
          <cell r="A3">
            <v>1</v>
          </cell>
          <cell r="B3" t="str">
            <v>ADAMS</v>
          </cell>
          <cell r="C3">
            <v>247654166</v>
          </cell>
          <cell r="D3">
            <v>49501937</v>
          </cell>
          <cell r="E3">
            <v>117626541</v>
          </cell>
          <cell r="F3">
            <v>1384829115</v>
          </cell>
          <cell r="G3">
            <v>431531072</v>
          </cell>
          <cell r="H3">
            <v>77502492</v>
          </cell>
          <cell r="I3">
            <v>698125</v>
          </cell>
          <cell r="J3">
            <v>1424111989</v>
          </cell>
          <cell r="K3">
            <v>73822355</v>
          </cell>
          <cell r="L3">
            <v>48996026</v>
          </cell>
          <cell r="M3">
            <v>0</v>
          </cell>
          <cell r="N3">
            <v>3856273818</v>
          </cell>
          <cell r="O3">
            <v>31364</v>
          </cell>
        </row>
        <row r="4">
          <cell r="A4">
            <v>2</v>
          </cell>
          <cell r="B4" t="str">
            <v>ANTELOPE</v>
          </cell>
          <cell r="C4">
            <v>118521585</v>
          </cell>
          <cell r="D4">
            <v>8483663</v>
          </cell>
          <cell r="E4">
            <v>11846929</v>
          </cell>
          <cell r="F4">
            <v>174658612</v>
          </cell>
          <cell r="G4">
            <v>185801599</v>
          </cell>
          <cell r="H4">
            <v>983140</v>
          </cell>
          <cell r="I4">
            <v>5389770</v>
          </cell>
          <cell r="J4">
            <v>1749706115</v>
          </cell>
          <cell r="K4">
            <v>85927105</v>
          </cell>
          <cell r="L4">
            <v>84575420</v>
          </cell>
          <cell r="M4">
            <v>0</v>
          </cell>
          <cell r="N4">
            <v>2425893938</v>
          </cell>
          <cell r="O4">
            <v>6685</v>
          </cell>
        </row>
        <row r="5">
          <cell r="A5">
            <v>3</v>
          </cell>
          <cell r="B5" t="str">
            <v>ARTHUR</v>
          </cell>
          <cell r="C5">
            <v>5324860</v>
          </cell>
          <cell r="D5">
            <v>1088842</v>
          </cell>
          <cell r="E5">
            <v>79186</v>
          </cell>
          <cell r="F5">
            <v>5546071</v>
          </cell>
          <cell r="G5">
            <v>1234004</v>
          </cell>
          <cell r="H5">
            <v>0</v>
          </cell>
          <cell r="I5">
            <v>0</v>
          </cell>
          <cell r="J5">
            <v>202187395</v>
          </cell>
          <cell r="K5">
            <v>7277410</v>
          </cell>
          <cell r="L5">
            <v>7003209</v>
          </cell>
          <cell r="M5">
            <v>0</v>
          </cell>
          <cell r="N5">
            <v>229740977</v>
          </cell>
          <cell r="O5">
            <v>460</v>
          </cell>
        </row>
        <row r="6">
          <cell r="A6">
            <v>4</v>
          </cell>
          <cell r="B6" t="str">
            <v>BANNER</v>
          </cell>
          <cell r="C6">
            <v>9445962</v>
          </cell>
          <cell r="D6">
            <v>6094457</v>
          </cell>
          <cell r="E6">
            <v>863133</v>
          </cell>
          <cell r="F6">
            <v>7997519</v>
          </cell>
          <cell r="G6">
            <v>192022</v>
          </cell>
          <cell r="H6">
            <v>0</v>
          </cell>
          <cell r="I6">
            <v>0</v>
          </cell>
          <cell r="J6">
            <v>217975149</v>
          </cell>
          <cell r="K6">
            <v>21659965</v>
          </cell>
          <cell r="L6">
            <v>6755739</v>
          </cell>
          <cell r="M6">
            <v>6960880</v>
          </cell>
          <cell r="N6">
            <v>277944826</v>
          </cell>
          <cell r="O6">
            <v>690</v>
          </cell>
        </row>
        <row r="7">
          <cell r="A7">
            <v>5</v>
          </cell>
          <cell r="B7" t="str">
            <v>BLAINE</v>
          </cell>
          <cell r="C7">
            <v>6157212</v>
          </cell>
          <cell r="D7">
            <v>6008602</v>
          </cell>
          <cell r="E7">
            <v>27834553</v>
          </cell>
          <cell r="F7">
            <v>5936906</v>
          </cell>
          <cell r="G7">
            <v>572241</v>
          </cell>
          <cell r="H7">
            <v>0</v>
          </cell>
          <cell r="I7">
            <v>0</v>
          </cell>
          <cell r="J7">
            <v>268220474</v>
          </cell>
          <cell r="K7">
            <v>8718072</v>
          </cell>
          <cell r="L7">
            <v>9700402</v>
          </cell>
          <cell r="M7">
            <v>0</v>
          </cell>
          <cell r="N7">
            <v>333148462</v>
          </cell>
          <cell r="O7">
            <v>478</v>
          </cell>
        </row>
        <row r="8">
          <cell r="A8">
            <v>6</v>
          </cell>
          <cell r="B8" t="str">
            <v>BOONE</v>
          </cell>
          <cell r="C8">
            <v>89884227</v>
          </cell>
          <cell r="D8">
            <v>11137838</v>
          </cell>
          <cell r="E8">
            <v>23958916</v>
          </cell>
          <cell r="F8">
            <v>218373730</v>
          </cell>
          <cell r="G8">
            <v>77185415</v>
          </cell>
          <cell r="H8">
            <v>40557660</v>
          </cell>
          <cell r="I8">
            <v>0</v>
          </cell>
          <cell r="J8">
            <v>1681610615</v>
          </cell>
          <cell r="K8">
            <v>65973595</v>
          </cell>
          <cell r="L8">
            <v>99065545</v>
          </cell>
          <cell r="M8">
            <v>0</v>
          </cell>
          <cell r="N8">
            <v>2307747541</v>
          </cell>
          <cell r="O8">
            <v>5505</v>
          </cell>
        </row>
        <row r="9">
          <cell r="A9">
            <v>7</v>
          </cell>
          <cell r="B9" t="str">
            <v>BOX BUTTE</v>
          </cell>
          <cell r="C9">
            <v>53730037</v>
          </cell>
          <cell r="D9">
            <v>39085062</v>
          </cell>
          <cell r="E9">
            <v>180756578</v>
          </cell>
          <cell r="F9">
            <v>399595580</v>
          </cell>
          <cell r="G9">
            <v>134384640</v>
          </cell>
          <cell r="H9">
            <v>12458450</v>
          </cell>
          <cell r="I9">
            <v>388991</v>
          </cell>
          <cell r="J9">
            <v>564944810</v>
          </cell>
          <cell r="K9">
            <v>46204725</v>
          </cell>
          <cell r="L9">
            <v>24809130</v>
          </cell>
          <cell r="M9">
            <v>0</v>
          </cell>
          <cell r="N9">
            <v>1456358003</v>
          </cell>
          <cell r="O9">
            <v>11308</v>
          </cell>
        </row>
        <row r="10">
          <cell r="A10">
            <v>8</v>
          </cell>
          <cell r="B10" t="str">
            <v>BOYD</v>
          </cell>
          <cell r="C10">
            <v>26603474</v>
          </cell>
          <cell r="D10">
            <v>489491</v>
          </cell>
          <cell r="E10">
            <v>116819</v>
          </cell>
          <cell r="F10">
            <v>24237545</v>
          </cell>
          <cell r="G10">
            <v>8477635</v>
          </cell>
          <cell r="H10">
            <v>0</v>
          </cell>
          <cell r="I10">
            <v>6387955</v>
          </cell>
          <cell r="J10">
            <v>486055685</v>
          </cell>
          <cell r="K10">
            <v>17998285</v>
          </cell>
          <cell r="L10">
            <v>14130855</v>
          </cell>
          <cell r="M10">
            <v>0</v>
          </cell>
          <cell r="N10">
            <v>584497744</v>
          </cell>
          <cell r="O10">
            <v>2099</v>
          </cell>
        </row>
        <row r="11">
          <cell r="A11">
            <v>9</v>
          </cell>
          <cell r="B11" t="str">
            <v>BROWN</v>
          </cell>
          <cell r="C11">
            <v>49435357</v>
          </cell>
          <cell r="D11">
            <v>2205744</v>
          </cell>
          <cell r="E11">
            <v>737378</v>
          </cell>
          <cell r="F11">
            <v>91512756</v>
          </cell>
          <cell r="G11">
            <v>52833441</v>
          </cell>
          <cell r="H11">
            <v>0</v>
          </cell>
          <cell r="I11">
            <v>3701755</v>
          </cell>
          <cell r="J11">
            <v>570835775</v>
          </cell>
          <cell r="K11">
            <v>37695171</v>
          </cell>
          <cell r="L11">
            <v>22257037</v>
          </cell>
          <cell r="M11">
            <v>0</v>
          </cell>
          <cell r="N11">
            <v>831214414</v>
          </cell>
          <cell r="O11">
            <v>3145</v>
          </cell>
        </row>
        <row r="12">
          <cell r="A12">
            <v>10</v>
          </cell>
          <cell r="B12" t="str">
            <v>BUFFALO</v>
          </cell>
          <cell r="C12">
            <v>326210311</v>
          </cell>
          <cell r="D12">
            <v>67449342</v>
          </cell>
          <cell r="E12">
            <v>207822034</v>
          </cell>
          <cell r="F12">
            <v>2742628780</v>
          </cell>
          <cell r="G12">
            <v>1036696505</v>
          </cell>
          <cell r="H12">
            <v>124613640</v>
          </cell>
          <cell r="I12">
            <v>2853780</v>
          </cell>
          <cell r="J12">
            <v>1682836255</v>
          </cell>
          <cell r="K12">
            <v>159246060</v>
          </cell>
          <cell r="L12">
            <v>49956155</v>
          </cell>
          <cell r="M12">
            <v>42490</v>
          </cell>
          <cell r="N12">
            <v>6400355352</v>
          </cell>
          <cell r="O12">
            <v>46102</v>
          </cell>
        </row>
        <row r="13">
          <cell r="A13">
            <v>11</v>
          </cell>
          <cell r="B13" t="str">
            <v>BURT</v>
          </cell>
          <cell r="C13">
            <v>52797150</v>
          </cell>
          <cell r="D13">
            <v>13092290</v>
          </cell>
          <cell r="E13">
            <v>17059162</v>
          </cell>
          <cell r="F13">
            <v>243504003</v>
          </cell>
          <cell r="G13">
            <v>37109849</v>
          </cell>
          <cell r="H13">
            <v>24769443</v>
          </cell>
          <cell r="I13">
            <v>2516299</v>
          </cell>
          <cell r="J13">
            <v>1270458528</v>
          </cell>
          <cell r="K13">
            <v>55256106</v>
          </cell>
          <cell r="L13">
            <v>67827399</v>
          </cell>
          <cell r="M13">
            <v>0</v>
          </cell>
          <cell r="N13">
            <v>1784390229</v>
          </cell>
          <cell r="O13">
            <v>6858</v>
          </cell>
        </row>
        <row r="14">
          <cell r="A14">
            <v>12</v>
          </cell>
          <cell r="B14" t="str">
            <v>BUTLER</v>
          </cell>
          <cell r="C14">
            <v>86736823</v>
          </cell>
          <cell r="D14">
            <v>52392171</v>
          </cell>
          <cell r="E14">
            <v>32899360</v>
          </cell>
          <cell r="F14">
            <v>304915855</v>
          </cell>
          <cell r="G14">
            <v>57216085</v>
          </cell>
          <cell r="H14">
            <v>10977145</v>
          </cell>
          <cell r="I14">
            <v>16910570</v>
          </cell>
          <cell r="J14">
            <v>1619209840</v>
          </cell>
          <cell r="K14">
            <v>123058115</v>
          </cell>
          <cell r="L14">
            <v>85632825</v>
          </cell>
          <cell r="M14">
            <v>1526790</v>
          </cell>
          <cell r="N14">
            <v>2391475579</v>
          </cell>
          <cell r="O14">
            <v>8395</v>
          </cell>
        </row>
        <row r="15">
          <cell r="A15">
            <v>13</v>
          </cell>
          <cell r="B15" t="str">
            <v>CASS</v>
          </cell>
          <cell r="C15">
            <v>128546232</v>
          </cell>
          <cell r="D15">
            <v>45547317</v>
          </cell>
          <cell r="E15">
            <v>81754181</v>
          </cell>
          <cell r="F15">
            <v>1855038564</v>
          </cell>
          <cell r="G15">
            <v>166805959</v>
          </cell>
          <cell r="H15">
            <v>53975217</v>
          </cell>
          <cell r="I15">
            <v>21350758</v>
          </cell>
          <cell r="J15">
            <v>1252657972</v>
          </cell>
          <cell r="K15">
            <v>144021409</v>
          </cell>
          <cell r="L15">
            <v>51097924</v>
          </cell>
          <cell r="M15">
            <v>616480</v>
          </cell>
          <cell r="N15">
            <v>3801412013</v>
          </cell>
          <cell r="O15">
            <v>25241</v>
          </cell>
        </row>
        <row r="16">
          <cell r="A16">
            <v>14</v>
          </cell>
          <cell r="B16" t="str">
            <v>CEDAR</v>
          </cell>
          <cell r="C16">
            <v>88625964</v>
          </cell>
          <cell r="D16">
            <v>63732839</v>
          </cell>
          <cell r="E16">
            <v>13130146</v>
          </cell>
          <cell r="F16">
            <v>272985105</v>
          </cell>
          <cell r="G16">
            <v>57826000</v>
          </cell>
          <cell r="H16">
            <v>4137825</v>
          </cell>
          <cell r="I16">
            <v>22197400</v>
          </cell>
          <cell r="J16">
            <v>1792205840</v>
          </cell>
          <cell r="K16">
            <v>107224680</v>
          </cell>
          <cell r="L16">
            <v>78445735</v>
          </cell>
          <cell r="M16">
            <v>0</v>
          </cell>
          <cell r="N16">
            <v>2500511534</v>
          </cell>
          <cell r="O16">
            <v>8852</v>
          </cell>
        </row>
        <row r="17">
          <cell r="A17">
            <v>15</v>
          </cell>
          <cell r="B17" t="str">
            <v>CHASE</v>
          </cell>
          <cell r="C17">
            <v>67478402</v>
          </cell>
          <cell r="D17">
            <v>10196571</v>
          </cell>
          <cell r="E17">
            <v>9073778</v>
          </cell>
          <cell r="F17">
            <v>181360878</v>
          </cell>
          <cell r="G17">
            <v>80887002</v>
          </cell>
          <cell r="H17">
            <v>0</v>
          </cell>
          <cell r="I17">
            <v>1206071</v>
          </cell>
          <cell r="J17">
            <v>933430835</v>
          </cell>
          <cell r="K17">
            <v>41037293</v>
          </cell>
          <cell r="L17">
            <v>40973603</v>
          </cell>
          <cell r="M17">
            <v>2407365</v>
          </cell>
          <cell r="N17">
            <v>1368051798</v>
          </cell>
          <cell r="O17">
            <v>3966</v>
          </cell>
        </row>
        <row r="18">
          <cell r="A18">
            <v>16</v>
          </cell>
          <cell r="B18" t="str">
            <v>CHERRY</v>
          </cell>
          <cell r="C18">
            <v>67991227</v>
          </cell>
          <cell r="D18">
            <v>9182411</v>
          </cell>
          <cell r="E18">
            <v>2126998</v>
          </cell>
          <cell r="F18">
            <v>194856801</v>
          </cell>
          <cell r="G18">
            <v>79350744</v>
          </cell>
          <cell r="H18">
            <v>0</v>
          </cell>
          <cell r="I18">
            <v>4662290</v>
          </cell>
          <cell r="J18">
            <v>1656238814</v>
          </cell>
          <cell r="K18">
            <v>71621975</v>
          </cell>
          <cell r="L18">
            <v>35784670</v>
          </cell>
          <cell r="M18">
            <v>6405</v>
          </cell>
          <cell r="N18">
            <v>2121822335</v>
          </cell>
          <cell r="O18">
            <v>5713</v>
          </cell>
        </row>
        <row r="19">
          <cell r="A19">
            <v>17</v>
          </cell>
          <cell r="B19" t="str">
            <v>CHEYENNE</v>
          </cell>
          <cell r="C19">
            <v>73527850</v>
          </cell>
          <cell r="D19">
            <v>54770278</v>
          </cell>
          <cell r="E19">
            <v>153110063</v>
          </cell>
          <cell r="F19">
            <v>359018300</v>
          </cell>
          <cell r="G19">
            <v>158946802</v>
          </cell>
          <cell r="H19">
            <v>17062018</v>
          </cell>
          <cell r="I19">
            <v>37235</v>
          </cell>
          <cell r="J19">
            <v>482163330</v>
          </cell>
          <cell r="K19">
            <v>42872847</v>
          </cell>
          <cell r="L19">
            <v>19482129</v>
          </cell>
          <cell r="M19">
            <v>7003402</v>
          </cell>
          <cell r="N19">
            <v>1367994255</v>
          </cell>
          <cell r="O19">
            <v>9998</v>
          </cell>
        </row>
        <row r="20">
          <cell r="A20">
            <v>18</v>
          </cell>
          <cell r="B20" t="str">
            <v>CLAY</v>
          </cell>
          <cell r="C20">
            <v>76565441</v>
          </cell>
          <cell r="D20">
            <v>27502416</v>
          </cell>
          <cell r="E20">
            <v>90146520</v>
          </cell>
          <cell r="F20">
            <v>240041387</v>
          </cell>
          <cell r="G20">
            <v>67692455</v>
          </cell>
          <cell r="H20">
            <v>19509045</v>
          </cell>
          <cell r="I20">
            <v>274725</v>
          </cell>
          <cell r="J20">
            <v>1456467830</v>
          </cell>
          <cell r="K20">
            <v>40277690</v>
          </cell>
          <cell r="L20">
            <v>51362145</v>
          </cell>
          <cell r="M20">
            <v>0</v>
          </cell>
          <cell r="N20">
            <v>2069839654</v>
          </cell>
          <cell r="O20">
            <v>6542</v>
          </cell>
        </row>
        <row r="21">
          <cell r="A21">
            <v>19</v>
          </cell>
          <cell r="B21" t="str">
            <v>COLFAX</v>
          </cell>
          <cell r="C21">
            <v>82001853</v>
          </cell>
          <cell r="D21">
            <v>34237643</v>
          </cell>
          <cell r="E21">
            <v>50399022</v>
          </cell>
          <cell r="F21">
            <v>303494165</v>
          </cell>
          <cell r="G21">
            <v>79854921</v>
          </cell>
          <cell r="H21">
            <v>27190040</v>
          </cell>
          <cell r="I21">
            <v>16230490</v>
          </cell>
          <cell r="J21">
            <v>1159721740</v>
          </cell>
          <cell r="K21">
            <v>89650750</v>
          </cell>
          <cell r="L21">
            <v>79437255</v>
          </cell>
          <cell r="M21">
            <v>0</v>
          </cell>
          <cell r="N21">
            <v>1922217879</v>
          </cell>
          <cell r="O21">
            <v>10515</v>
          </cell>
        </row>
        <row r="22">
          <cell r="A22">
            <v>20</v>
          </cell>
          <cell r="B22" t="str">
            <v>CUMING</v>
          </cell>
          <cell r="C22">
            <v>109365984</v>
          </cell>
          <cell r="D22">
            <v>9136866</v>
          </cell>
          <cell r="E22">
            <v>2461529</v>
          </cell>
          <cell r="F22">
            <v>361577720</v>
          </cell>
          <cell r="G22">
            <v>91873170</v>
          </cell>
          <cell r="H22">
            <v>17840785</v>
          </cell>
          <cell r="I22">
            <v>6072013</v>
          </cell>
          <cell r="J22">
            <v>1918650045</v>
          </cell>
          <cell r="K22">
            <v>77952905</v>
          </cell>
          <cell r="L22">
            <v>120774710</v>
          </cell>
          <cell r="M22">
            <v>0</v>
          </cell>
          <cell r="N22">
            <v>2715705727</v>
          </cell>
          <cell r="O22">
            <v>9139</v>
          </cell>
        </row>
        <row r="23">
          <cell r="A23">
            <v>21</v>
          </cell>
          <cell r="B23" t="str">
            <v>CUSTER</v>
          </cell>
          <cell r="C23">
            <v>115679538</v>
          </cell>
          <cell r="D23">
            <v>32638018</v>
          </cell>
          <cell r="E23">
            <v>113861803</v>
          </cell>
          <cell r="F23">
            <v>345060916</v>
          </cell>
          <cell r="G23">
            <v>149550107</v>
          </cell>
          <cell r="H23">
            <v>9088585</v>
          </cell>
          <cell r="I23">
            <v>0</v>
          </cell>
          <cell r="J23">
            <v>2421633626</v>
          </cell>
          <cell r="K23">
            <v>144200847</v>
          </cell>
          <cell r="L23">
            <v>146552945</v>
          </cell>
          <cell r="M23">
            <v>0</v>
          </cell>
          <cell r="N23">
            <v>3478266385</v>
          </cell>
          <cell r="O23">
            <v>10939</v>
          </cell>
        </row>
        <row r="24">
          <cell r="A24">
            <v>22</v>
          </cell>
          <cell r="B24" t="str">
            <v>DAKOTA</v>
          </cell>
          <cell r="C24">
            <v>94770549</v>
          </cell>
          <cell r="D24">
            <v>35738538</v>
          </cell>
          <cell r="E24">
            <v>31825218</v>
          </cell>
          <cell r="F24">
            <v>736616190</v>
          </cell>
          <cell r="G24">
            <v>291891414</v>
          </cell>
          <cell r="H24">
            <v>97407140</v>
          </cell>
          <cell r="I24">
            <v>0</v>
          </cell>
          <cell r="J24">
            <v>554594585</v>
          </cell>
          <cell r="K24">
            <v>27533265</v>
          </cell>
          <cell r="L24">
            <v>10836825</v>
          </cell>
          <cell r="M24">
            <v>0</v>
          </cell>
          <cell r="N24">
            <v>1881213724</v>
          </cell>
          <cell r="O24">
            <v>21006</v>
          </cell>
        </row>
        <row r="25">
          <cell r="A25">
            <v>23</v>
          </cell>
          <cell r="B25" t="str">
            <v>DAWES</v>
          </cell>
          <cell r="C25">
            <v>26362448</v>
          </cell>
          <cell r="D25">
            <v>25514817</v>
          </cell>
          <cell r="E25">
            <v>76041956</v>
          </cell>
          <cell r="F25">
            <v>283951396</v>
          </cell>
          <cell r="G25">
            <v>101078993</v>
          </cell>
          <cell r="H25">
            <v>307955</v>
          </cell>
          <cell r="I25">
            <v>0</v>
          </cell>
          <cell r="J25">
            <v>370038430</v>
          </cell>
          <cell r="K25">
            <v>60894970</v>
          </cell>
          <cell r="L25">
            <v>18863240</v>
          </cell>
          <cell r="M25">
            <v>0</v>
          </cell>
          <cell r="N25">
            <v>963054205</v>
          </cell>
          <cell r="O25">
            <v>9182</v>
          </cell>
        </row>
        <row r="26">
          <cell r="A26">
            <v>24</v>
          </cell>
          <cell r="B26" t="str">
            <v>DAWSON</v>
          </cell>
          <cell r="C26">
            <v>157932530</v>
          </cell>
          <cell r="D26">
            <v>58444414</v>
          </cell>
          <cell r="E26">
            <v>182514387</v>
          </cell>
          <cell r="F26">
            <v>828749577</v>
          </cell>
          <cell r="G26">
            <v>233889831</v>
          </cell>
          <cell r="H26">
            <v>67109626</v>
          </cell>
          <cell r="I26">
            <v>79088502</v>
          </cell>
          <cell r="J26">
            <v>1589427619</v>
          </cell>
          <cell r="K26">
            <v>97527409</v>
          </cell>
          <cell r="L26">
            <v>72991742</v>
          </cell>
          <cell r="M26">
            <v>4257</v>
          </cell>
          <cell r="N26">
            <v>3367679894</v>
          </cell>
          <cell r="O26">
            <v>24326</v>
          </cell>
        </row>
        <row r="27">
          <cell r="A27">
            <v>25</v>
          </cell>
          <cell r="B27" t="str">
            <v>DEUEL</v>
          </cell>
          <cell r="C27">
            <v>15683614</v>
          </cell>
          <cell r="D27">
            <v>17183479</v>
          </cell>
          <cell r="E27">
            <v>67137017</v>
          </cell>
          <cell r="F27">
            <v>52289633</v>
          </cell>
          <cell r="G27">
            <v>25842104</v>
          </cell>
          <cell r="H27">
            <v>0</v>
          </cell>
          <cell r="I27">
            <v>0</v>
          </cell>
          <cell r="J27">
            <v>201360750</v>
          </cell>
          <cell r="K27">
            <v>15746655</v>
          </cell>
          <cell r="L27">
            <v>12185225</v>
          </cell>
          <cell r="M27">
            <v>88870</v>
          </cell>
          <cell r="N27">
            <v>407517347</v>
          </cell>
          <cell r="O27">
            <v>1941</v>
          </cell>
        </row>
        <row r="28">
          <cell r="A28">
            <v>26</v>
          </cell>
          <cell r="B28" t="str">
            <v>DIXON</v>
          </cell>
          <cell r="C28">
            <v>59751864</v>
          </cell>
          <cell r="D28">
            <v>5278154</v>
          </cell>
          <cell r="E28">
            <v>9434507</v>
          </cell>
          <cell r="F28">
            <v>160621705</v>
          </cell>
          <cell r="G28">
            <v>61719500</v>
          </cell>
          <cell r="H28">
            <v>29860325</v>
          </cell>
          <cell r="I28">
            <v>1304900</v>
          </cell>
          <cell r="J28">
            <v>976579815</v>
          </cell>
          <cell r="K28">
            <v>53220810</v>
          </cell>
          <cell r="L28">
            <v>33664240</v>
          </cell>
          <cell r="M28">
            <v>0</v>
          </cell>
          <cell r="N28">
            <v>1391435820</v>
          </cell>
          <cell r="O28">
            <v>6000</v>
          </cell>
        </row>
        <row r="29">
          <cell r="A29">
            <v>27</v>
          </cell>
          <cell r="B29" t="str">
            <v>DODGE</v>
          </cell>
          <cell r="C29">
            <v>388336310</v>
          </cell>
          <cell r="D29">
            <v>47404926</v>
          </cell>
          <cell r="E29">
            <v>113750802</v>
          </cell>
          <cell r="F29">
            <v>1824936588</v>
          </cell>
          <cell r="G29">
            <v>435264216</v>
          </cell>
          <cell r="H29">
            <v>195284689</v>
          </cell>
          <cell r="I29">
            <v>6045328</v>
          </cell>
          <cell r="J29">
            <v>1626470396</v>
          </cell>
          <cell r="K29">
            <v>74524389</v>
          </cell>
          <cell r="L29">
            <v>54101105</v>
          </cell>
          <cell r="M29">
            <v>0</v>
          </cell>
          <cell r="N29">
            <v>4766118749</v>
          </cell>
          <cell r="O29">
            <v>36691</v>
          </cell>
        </row>
        <row r="30">
          <cell r="A30">
            <v>28</v>
          </cell>
          <cell r="B30" t="str">
            <v>DOUGLAS</v>
          </cell>
          <cell r="C30">
            <v>1760157530</v>
          </cell>
          <cell r="D30">
            <v>382903040</v>
          </cell>
          <cell r="E30">
            <v>423751010</v>
          </cell>
          <cell r="F30">
            <v>33302138735</v>
          </cell>
          <cell r="G30">
            <v>12273834805</v>
          </cell>
          <cell r="H30">
            <v>2261662395</v>
          </cell>
          <cell r="I30">
            <v>0</v>
          </cell>
          <cell r="J30">
            <v>296527625</v>
          </cell>
          <cell r="K30">
            <v>226725040</v>
          </cell>
          <cell r="L30">
            <v>15787905</v>
          </cell>
          <cell r="M30">
            <v>0</v>
          </cell>
          <cell r="N30">
            <v>50943488085</v>
          </cell>
          <cell r="O30">
            <v>517110</v>
          </cell>
        </row>
        <row r="31">
          <cell r="A31">
            <v>29</v>
          </cell>
          <cell r="B31" t="str">
            <v>DUNDY</v>
          </cell>
          <cell r="C31">
            <v>33539144</v>
          </cell>
          <cell r="D31">
            <v>42385882</v>
          </cell>
          <cell r="E31">
            <v>31349163</v>
          </cell>
          <cell r="F31">
            <v>38430317</v>
          </cell>
          <cell r="G31">
            <v>8380297</v>
          </cell>
          <cell r="H31">
            <v>0</v>
          </cell>
          <cell r="I31">
            <v>212477</v>
          </cell>
          <cell r="J31">
            <v>668182395</v>
          </cell>
          <cell r="K31">
            <v>22423599</v>
          </cell>
          <cell r="L31">
            <v>13539831</v>
          </cell>
          <cell r="M31">
            <v>15582596</v>
          </cell>
          <cell r="N31">
            <v>874025701</v>
          </cell>
          <cell r="O31">
            <v>2008</v>
          </cell>
        </row>
        <row r="32">
          <cell r="A32">
            <v>30</v>
          </cell>
          <cell r="B32" t="str">
            <v>FILLMORE</v>
          </cell>
          <cell r="C32">
            <v>158880591</v>
          </cell>
          <cell r="D32">
            <v>21397622</v>
          </cell>
          <cell r="E32">
            <v>21019722</v>
          </cell>
          <cell r="F32">
            <v>227282645</v>
          </cell>
          <cell r="G32">
            <v>74205152</v>
          </cell>
          <cell r="H32">
            <v>43818180</v>
          </cell>
          <cell r="I32">
            <v>0</v>
          </cell>
          <cell r="J32">
            <v>1772430190</v>
          </cell>
          <cell r="K32">
            <v>27744710</v>
          </cell>
          <cell r="L32">
            <v>56894760</v>
          </cell>
          <cell r="M32">
            <v>0</v>
          </cell>
          <cell r="N32">
            <v>2403673572</v>
          </cell>
          <cell r="O32">
            <v>5890</v>
          </cell>
        </row>
        <row r="33">
          <cell r="A33">
            <v>31</v>
          </cell>
          <cell r="B33" t="str">
            <v>FRANKLIN</v>
          </cell>
          <cell r="C33">
            <v>28139664</v>
          </cell>
          <cell r="D33">
            <v>16755163</v>
          </cell>
          <cell r="E33">
            <v>2456133</v>
          </cell>
          <cell r="F33">
            <v>68136385</v>
          </cell>
          <cell r="G33">
            <v>21199105</v>
          </cell>
          <cell r="H33">
            <v>161810</v>
          </cell>
          <cell r="I33">
            <v>239965</v>
          </cell>
          <cell r="J33">
            <v>773389710</v>
          </cell>
          <cell r="K33">
            <v>30560105</v>
          </cell>
          <cell r="L33">
            <v>28406660</v>
          </cell>
          <cell r="M33">
            <v>3429980</v>
          </cell>
          <cell r="N33">
            <v>972874680</v>
          </cell>
          <cell r="O33">
            <v>3225</v>
          </cell>
        </row>
        <row r="34">
          <cell r="A34">
            <v>32</v>
          </cell>
          <cell r="B34" t="str">
            <v>FRONTIER</v>
          </cell>
          <cell r="C34">
            <v>32972443</v>
          </cell>
          <cell r="D34">
            <v>13305777</v>
          </cell>
          <cell r="E34">
            <v>3192286</v>
          </cell>
          <cell r="F34">
            <v>60945508</v>
          </cell>
          <cell r="G34">
            <v>20914984</v>
          </cell>
          <cell r="H34">
            <v>0</v>
          </cell>
          <cell r="I34">
            <v>8722201</v>
          </cell>
          <cell r="J34">
            <v>621890958</v>
          </cell>
          <cell r="K34">
            <v>43685860</v>
          </cell>
          <cell r="L34">
            <v>44944515</v>
          </cell>
          <cell r="M34">
            <v>385920</v>
          </cell>
          <cell r="N34">
            <v>850960452</v>
          </cell>
          <cell r="O34">
            <v>2756</v>
          </cell>
        </row>
        <row r="35">
          <cell r="A35">
            <v>33</v>
          </cell>
          <cell r="B35" t="str">
            <v>FURNAS</v>
          </cell>
          <cell r="C35">
            <v>38990233</v>
          </cell>
          <cell r="D35">
            <v>14171738</v>
          </cell>
          <cell r="E35">
            <v>26530140</v>
          </cell>
          <cell r="F35">
            <v>124769950</v>
          </cell>
          <cell r="G35">
            <v>26576940</v>
          </cell>
          <cell r="H35">
            <v>2291945</v>
          </cell>
          <cell r="I35">
            <v>0</v>
          </cell>
          <cell r="J35">
            <v>655204585</v>
          </cell>
          <cell r="K35">
            <v>25915785</v>
          </cell>
          <cell r="L35">
            <v>31466090</v>
          </cell>
          <cell r="M35">
            <v>401210</v>
          </cell>
          <cell r="N35">
            <v>946318616</v>
          </cell>
          <cell r="O35">
            <v>4959</v>
          </cell>
        </row>
        <row r="36">
          <cell r="A36">
            <v>34</v>
          </cell>
          <cell r="B36" t="str">
            <v>GAGE</v>
          </cell>
          <cell r="C36">
            <v>171550223</v>
          </cell>
          <cell r="D36">
            <v>96359115</v>
          </cell>
          <cell r="E36">
            <v>41805601</v>
          </cell>
          <cell r="F36">
            <v>845878900</v>
          </cell>
          <cell r="G36">
            <v>195419085</v>
          </cell>
          <cell r="H36">
            <v>59113020</v>
          </cell>
          <cell r="I36">
            <v>37050</v>
          </cell>
          <cell r="J36">
            <v>1511174460</v>
          </cell>
          <cell r="K36">
            <v>147760880</v>
          </cell>
          <cell r="L36">
            <v>62752835</v>
          </cell>
          <cell r="M36">
            <v>0</v>
          </cell>
          <cell r="N36">
            <v>3131851169</v>
          </cell>
          <cell r="O36">
            <v>22311</v>
          </cell>
        </row>
        <row r="37">
          <cell r="A37">
            <v>35</v>
          </cell>
          <cell r="B37" t="str">
            <v>GARDEN</v>
          </cell>
          <cell r="C37">
            <v>22992072</v>
          </cell>
          <cell r="D37">
            <v>16699274</v>
          </cell>
          <cell r="E37">
            <v>86250756</v>
          </cell>
          <cell r="F37">
            <v>48827529</v>
          </cell>
          <cell r="G37">
            <v>13282575</v>
          </cell>
          <cell r="H37">
            <v>0</v>
          </cell>
          <cell r="I37">
            <v>0</v>
          </cell>
          <cell r="J37">
            <v>529540052</v>
          </cell>
          <cell r="K37">
            <v>27926035</v>
          </cell>
          <cell r="L37">
            <v>17369928</v>
          </cell>
          <cell r="M37">
            <v>108499</v>
          </cell>
          <cell r="N37">
            <v>762996720</v>
          </cell>
          <cell r="O37">
            <v>2057</v>
          </cell>
        </row>
        <row r="38">
          <cell r="A38">
            <v>36</v>
          </cell>
          <cell r="B38" t="str">
            <v>GARFIELD</v>
          </cell>
          <cell r="C38">
            <v>11888679</v>
          </cell>
          <cell r="D38">
            <v>2602335</v>
          </cell>
          <cell r="E38">
            <v>296209</v>
          </cell>
          <cell r="F38">
            <v>78068416</v>
          </cell>
          <cell r="G38">
            <v>14341475</v>
          </cell>
          <cell r="H38">
            <v>3386294</v>
          </cell>
          <cell r="I38">
            <v>225000</v>
          </cell>
          <cell r="J38">
            <v>298550136</v>
          </cell>
          <cell r="K38">
            <v>19457496</v>
          </cell>
          <cell r="L38">
            <v>11337691</v>
          </cell>
          <cell r="M38">
            <v>0</v>
          </cell>
          <cell r="N38">
            <v>440153731</v>
          </cell>
          <cell r="O38">
            <v>2049</v>
          </cell>
        </row>
        <row r="39">
          <cell r="A39">
            <v>37</v>
          </cell>
          <cell r="B39" t="str">
            <v>GOSPER</v>
          </cell>
          <cell r="C39">
            <v>25779613</v>
          </cell>
          <cell r="D39">
            <v>22656786</v>
          </cell>
          <cell r="E39">
            <v>2990888</v>
          </cell>
          <cell r="F39">
            <v>167811770</v>
          </cell>
          <cell r="G39">
            <v>13910599</v>
          </cell>
          <cell r="H39">
            <v>1159114</v>
          </cell>
          <cell r="I39">
            <v>98945</v>
          </cell>
          <cell r="J39">
            <v>586119124</v>
          </cell>
          <cell r="K39">
            <v>23362765</v>
          </cell>
          <cell r="L39">
            <v>8501192</v>
          </cell>
          <cell r="M39">
            <v>8478</v>
          </cell>
          <cell r="N39">
            <v>852399274</v>
          </cell>
          <cell r="O39">
            <v>2044</v>
          </cell>
        </row>
        <row r="40">
          <cell r="A40">
            <v>38</v>
          </cell>
          <cell r="B40" t="str">
            <v>GRANT</v>
          </cell>
          <cell r="C40">
            <v>8679995</v>
          </cell>
          <cell r="D40">
            <v>11116721</v>
          </cell>
          <cell r="E40">
            <v>55512818</v>
          </cell>
          <cell r="F40">
            <v>8921023</v>
          </cell>
          <cell r="G40">
            <v>2301378</v>
          </cell>
          <cell r="H40">
            <v>0</v>
          </cell>
          <cell r="I40">
            <v>0</v>
          </cell>
          <cell r="J40">
            <v>197955647</v>
          </cell>
          <cell r="K40">
            <v>11665585</v>
          </cell>
          <cell r="L40">
            <v>3494915</v>
          </cell>
          <cell r="M40">
            <v>0</v>
          </cell>
          <cell r="N40">
            <v>299648082</v>
          </cell>
          <cell r="O40">
            <v>614</v>
          </cell>
        </row>
        <row r="41">
          <cell r="A41">
            <v>39</v>
          </cell>
          <cell r="B41" t="str">
            <v>GREELEY</v>
          </cell>
          <cell r="C41">
            <v>30192988</v>
          </cell>
          <cell r="D41">
            <v>4470725</v>
          </cell>
          <cell r="E41">
            <v>9137844</v>
          </cell>
          <cell r="F41">
            <v>50223155</v>
          </cell>
          <cell r="G41">
            <v>13623615</v>
          </cell>
          <cell r="H41">
            <v>0</v>
          </cell>
          <cell r="I41">
            <v>0</v>
          </cell>
          <cell r="J41">
            <v>770784355</v>
          </cell>
          <cell r="K41">
            <v>21673800</v>
          </cell>
          <cell r="L41">
            <v>39226140</v>
          </cell>
          <cell r="M41">
            <v>0</v>
          </cell>
          <cell r="N41">
            <v>939332622</v>
          </cell>
          <cell r="O41">
            <v>2538</v>
          </cell>
        </row>
        <row r="42">
          <cell r="A42">
            <v>40</v>
          </cell>
          <cell r="B42" t="str">
            <v>HALL</v>
          </cell>
          <cell r="C42">
            <v>256218663</v>
          </cell>
          <cell r="D42">
            <v>60692535</v>
          </cell>
          <cell r="E42">
            <v>167984958</v>
          </cell>
          <cell r="F42">
            <v>2602326895</v>
          </cell>
          <cell r="G42">
            <v>1181286011</v>
          </cell>
          <cell r="H42">
            <v>85818008</v>
          </cell>
          <cell r="I42">
            <v>603408</v>
          </cell>
          <cell r="J42">
            <v>1149833378</v>
          </cell>
          <cell r="K42">
            <v>100890499</v>
          </cell>
          <cell r="L42">
            <v>60950511</v>
          </cell>
          <cell r="M42">
            <v>0</v>
          </cell>
          <cell r="N42">
            <v>5666604866</v>
          </cell>
          <cell r="O42">
            <v>58607</v>
          </cell>
        </row>
        <row r="43">
          <cell r="A43">
            <v>41</v>
          </cell>
          <cell r="B43" t="str">
            <v>HAMILTON</v>
          </cell>
          <cell r="C43">
            <v>164313889</v>
          </cell>
          <cell r="D43">
            <v>27554210</v>
          </cell>
          <cell r="E43">
            <v>66177255</v>
          </cell>
          <cell r="F43">
            <v>565444560</v>
          </cell>
          <cell r="G43">
            <v>128002285</v>
          </cell>
          <cell r="H43">
            <v>83189305</v>
          </cell>
          <cell r="I43">
            <v>1236230</v>
          </cell>
          <cell r="J43">
            <v>1754570595</v>
          </cell>
          <cell r="K43">
            <v>50539680</v>
          </cell>
          <cell r="L43">
            <v>58643230</v>
          </cell>
          <cell r="M43">
            <v>360</v>
          </cell>
          <cell r="N43">
            <v>2899671599</v>
          </cell>
          <cell r="O43">
            <v>9124</v>
          </cell>
        </row>
        <row r="44">
          <cell r="A44">
            <v>42</v>
          </cell>
          <cell r="B44" t="str">
            <v>HARLAN</v>
          </cell>
          <cell r="C44">
            <v>37022251</v>
          </cell>
          <cell r="D44">
            <v>6780539</v>
          </cell>
          <cell r="E44">
            <v>11219003</v>
          </cell>
          <cell r="F44">
            <v>128129505</v>
          </cell>
          <cell r="G44">
            <v>36823359</v>
          </cell>
          <cell r="H44">
            <v>0</v>
          </cell>
          <cell r="I44">
            <v>11381615</v>
          </cell>
          <cell r="J44">
            <v>680938399</v>
          </cell>
          <cell r="K44">
            <v>35781392</v>
          </cell>
          <cell r="L44">
            <v>16256939</v>
          </cell>
          <cell r="M44">
            <v>3012710</v>
          </cell>
          <cell r="N44">
            <v>967345712</v>
          </cell>
          <cell r="O44">
            <v>3423</v>
          </cell>
        </row>
        <row r="45">
          <cell r="A45">
            <v>43</v>
          </cell>
          <cell r="B45" t="str">
            <v>HAYES</v>
          </cell>
          <cell r="C45">
            <v>23524118</v>
          </cell>
          <cell r="D45">
            <v>2855733</v>
          </cell>
          <cell r="E45">
            <v>5604963</v>
          </cell>
          <cell r="F45">
            <v>11352285</v>
          </cell>
          <cell r="G45">
            <v>9529378</v>
          </cell>
          <cell r="H45">
            <v>0</v>
          </cell>
          <cell r="I45">
            <v>0</v>
          </cell>
          <cell r="J45">
            <v>382641840</v>
          </cell>
          <cell r="K45">
            <v>16860455</v>
          </cell>
          <cell r="L45">
            <v>14412845</v>
          </cell>
          <cell r="M45">
            <v>709970</v>
          </cell>
          <cell r="N45">
            <v>467491587</v>
          </cell>
          <cell r="O45">
            <v>967</v>
          </cell>
        </row>
        <row r="46">
          <cell r="A46">
            <v>44</v>
          </cell>
          <cell r="B46" t="str">
            <v>HITCHCOCK</v>
          </cell>
          <cell r="C46">
            <v>29313762</v>
          </cell>
          <cell r="D46">
            <v>34588679</v>
          </cell>
          <cell r="E46">
            <v>31902432</v>
          </cell>
          <cell r="F46">
            <v>70530455</v>
          </cell>
          <cell r="G46">
            <v>27523860</v>
          </cell>
          <cell r="H46">
            <v>22059296</v>
          </cell>
          <cell r="I46">
            <v>6650995</v>
          </cell>
          <cell r="J46">
            <v>405635680</v>
          </cell>
          <cell r="K46">
            <v>26825190</v>
          </cell>
          <cell r="L46">
            <v>16366275</v>
          </cell>
          <cell r="M46">
            <v>31094435</v>
          </cell>
          <cell r="N46">
            <v>702491059</v>
          </cell>
          <cell r="O46">
            <v>2908</v>
          </cell>
        </row>
        <row r="47">
          <cell r="A47">
            <v>45</v>
          </cell>
          <cell r="B47" t="str">
            <v>HOLT</v>
          </cell>
          <cell r="C47">
            <v>154760688</v>
          </cell>
          <cell r="D47">
            <v>11531472</v>
          </cell>
          <cell r="E47">
            <v>11044528</v>
          </cell>
          <cell r="F47">
            <v>301398121</v>
          </cell>
          <cell r="G47">
            <v>138975950</v>
          </cell>
          <cell r="H47">
            <v>6274988</v>
          </cell>
          <cell r="I47">
            <v>116578</v>
          </cell>
          <cell r="J47">
            <v>2308229310</v>
          </cell>
          <cell r="K47">
            <v>80979742</v>
          </cell>
          <cell r="L47">
            <v>108743939</v>
          </cell>
          <cell r="M47">
            <v>0</v>
          </cell>
          <cell r="N47">
            <v>3122055316</v>
          </cell>
          <cell r="O47">
            <v>10435</v>
          </cell>
        </row>
        <row r="48">
          <cell r="A48">
            <v>46</v>
          </cell>
          <cell r="B48" t="str">
            <v>HOOKER</v>
          </cell>
          <cell r="C48">
            <v>3990943</v>
          </cell>
          <cell r="D48">
            <v>12701713</v>
          </cell>
          <cell r="E48">
            <v>61968375</v>
          </cell>
          <cell r="F48">
            <v>18124089</v>
          </cell>
          <cell r="G48">
            <v>13491023</v>
          </cell>
          <cell r="H48">
            <v>0</v>
          </cell>
          <cell r="I48">
            <v>0</v>
          </cell>
          <cell r="J48">
            <v>208761778</v>
          </cell>
          <cell r="K48">
            <v>3496599</v>
          </cell>
          <cell r="L48">
            <v>1429266</v>
          </cell>
          <cell r="M48">
            <v>0</v>
          </cell>
          <cell r="N48">
            <v>323963786</v>
          </cell>
          <cell r="O48">
            <v>736</v>
          </cell>
        </row>
        <row r="49">
          <cell r="A49">
            <v>47</v>
          </cell>
          <cell r="B49" t="str">
            <v>HOWARD</v>
          </cell>
          <cell r="C49">
            <v>39705992</v>
          </cell>
          <cell r="D49">
            <v>7374659</v>
          </cell>
          <cell r="E49">
            <v>22312232</v>
          </cell>
          <cell r="F49">
            <v>277980945</v>
          </cell>
          <cell r="G49">
            <v>45052230</v>
          </cell>
          <cell r="H49">
            <v>0</v>
          </cell>
          <cell r="I49">
            <v>9551023</v>
          </cell>
          <cell r="J49">
            <v>864756150</v>
          </cell>
          <cell r="K49">
            <v>76830051</v>
          </cell>
          <cell r="L49">
            <v>35233432</v>
          </cell>
          <cell r="M49">
            <v>0</v>
          </cell>
          <cell r="N49">
            <v>1378796714</v>
          </cell>
          <cell r="O49">
            <v>6274</v>
          </cell>
        </row>
        <row r="50">
          <cell r="A50">
            <v>48</v>
          </cell>
          <cell r="B50" t="str">
            <v>JEFFERSON</v>
          </cell>
          <cell r="C50">
            <v>86159611</v>
          </cell>
          <cell r="D50">
            <v>104141995</v>
          </cell>
          <cell r="E50">
            <v>105467854</v>
          </cell>
          <cell r="F50">
            <v>231621730</v>
          </cell>
          <cell r="G50">
            <v>72800999</v>
          </cell>
          <cell r="H50">
            <v>13013392</v>
          </cell>
          <cell r="I50">
            <v>1333464</v>
          </cell>
          <cell r="J50">
            <v>1060016521</v>
          </cell>
          <cell r="K50">
            <v>56985849</v>
          </cell>
          <cell r="L50">
            <v>82981704</v>
          </cell>
          <cell r="M50">
            <v>0</v>
          </cell>
          <cell r="N50">
            <v>1814523119</v>
          </cell>
          <cell r="O50">
            <v>7547</v>
          </cell>
        </row>
        <row r="51">
          <cell r="A51">
            <v>49</v>
          </cell>
          <cell r="B51" t="str">
            <v>JOHNSON</v>
          </cell>
          <cell r="C51">
            <v>24913257</v>
          </cell>
          <cell r="D51">
            <v>11218429</v>
          </cell>
          <cell r="E51">
            <v>30479147</v>
          </cell>
          <cell r="F51">
            <v>126127093</v>
          </cell>
          <cell r="G51">
            <v>34283438</v>
          </cell>
          <cell r="H51">
            <v>4656067</v>
          </cell>
          <cell r="I51">
            <v>343960</v>
          </cell>
          <cell r="J51">
            <v>646830820</v>
          </cell>
          <cell r="K51">
            <v>54031709</v>
          </cell>
          <cell r="L51">
            <v>31110125</v>
          </cell>
          <cell r="M51">
            <v>0</v>
          </cell>
          <cell r="N51">
            <v>963994045</v>
          </cell>
          <cell r="O51">
            <v>5217</v>
          </cell>
        </row>
        <row r="52">
          <cell r="A52">
            <v>50</v>
          </cell>
          <cell r="B52" t="str">
            <v>KEARNEY</v>
          </cell>
          <cell r="C52">
            <v>75279752</v>
          </cell>
          <cell r="D52">
            <v>27219380</v>
          </cell>
          <cell r="E52">
            <v>21736400</v>
          </cell>
          <cell r="F52">
            <v>342054890</v>
          </cell>
          <cell r="G52">
            <v>92222665</v>
          </cell>
          <cell r="H52">
            <v>0</v>
          </cell>
          <cell r="I52">
            <v>0</v>
          </cell>
          <cell r="J52">
            <v>1180683130</v>
          </cell>
          <cell r="K52">
            <v>48391910</v>
          </cell>
          <cell r="L52">
            <v>33014780</v>
          </cell>
          <cell r="M52">
            <v>0</v>
          </cell>
          <cell r="N52">
            <v>1820602907</v>
          </cell>
          <cell r="O52">
            <v>6489</v>
          </cell>
        </row>
        <row r="53">
          <cell r="A53">
            <v>51</v>
          </cell>
          <cell r="B53" t="str">
            <v>KEITH</v>
          </cell>
          <cell r="C53">
            <v>63224670</v>
          </cell>
          <cell r="D53">
            <v>49752607</v>
          </cell>
          <cell r="E53">
            <v>219791487</v>
          </cell>
          <cell r="F53">
            <v>585616099</v>
          </cell>
          <cell r="G53">
            <v>129645875</v>
          </cell>
          <cell r="H53">
            <v>7364575</v>
          </cell>
          <cell r="I53">
            <v>27540900</v>
          </cell>
          <cell r="J53">
            <v>708639255</v>
          </cell>
          <cell r="K53">
            <v>57016145</v>
          </cell>
          <cell r="L53">
            <v>43851268</v>
          </cell>
          <cell r="M53">
            <v>138830</v>
          </cell>
          <cell r="N53">
            <v>1892581711</v>
          </cell>
          <cell r="O53">
            <v>8368</v>
          </cell>
        </row>
        <row r="54">
          <cell r="A54">
            <v>52</v>
          </cell>
          <cell r="B54" t="str">
            <v>KEYA PAHA</v>
          </cell>
          <cell r="C54">
            <v>16688039</v>
          </cell>
          <cell r="D54">
            <v>610907</v>
          </cell>
          <cell r="E54">
            <v>5679</v>
          </cell>
          <cell r="F54">
            <v>14018150</v>
          </cell>
          <cell r="G54">
            <v>2335790</v>
          </cell>
          <cell r="H54">
            <v>0</v>
          </cell>
          <cell r="I54">
            <v>0</v>
          </cell>
          <cell r="J54">
            <v>415239440</v>
          </cell>
          <cell r="K54">
            <v>17627130</v>
          </cell>
          <cell r="L54">
            <v>12489710</v>
          </cell>
          <cell r="M54">
            <v>0</v>
          </cell>
          <cell r="N54">
            <v>479014845</v>
          </cell>
          <cell r="O54">
            <v>824</v>
          </cell>
        </row>
        <row r="55">
          <cell r="A55">
            <v>53</v>
          </cell>
          <cell r="B55" t="str">
            <v>KIMBALL</v>
          </cell>
          <cell r="C55">
            <v>31062676</v>
          </cell>
          <cell r="D55">
            <v>58470235</v>
          </cell>
          <cell r="E55">
            <v>95441322</v>
          </cell>
          <cell r="F55">
            <v>115261040</v>
          </cell>
          <cell r="G55">
            <v>36882455</v>
          </cell>
          <cell r="H55">
            <v>39353730</v>
          </cell>
          <cell r="I55">
            <v>0</v>
          </cell>
          <cell r="J55">
            <v>263857330</v>
          </cell>
          <cell r="K55">
            <v>22180840</v>
          </cell>
          <cell r="L55">
            <v>9613235</v>
          </cell>
          <cell r="M55">
            <v>28546005</v>
          </cell>
          <cell r="N55">
            <v>700668868</v>
          </cell>
          <cell r="O55">
            <v>3821</v>
          </cell>
        </row>
        <row r="56">
          <cell r="A56">
            <v>54</v>
          </cell>
          <cell r="B56" t="str">
            <v>KNOX</v>
          </cell>
          <cell r="C56">
            <v>101954951</v>
          </cell>
          <cell r="D56">
            <v>13104857</v>
          </cell>
          <cell r="E56">
            <v>2838598</v>
          </cell>
          <cell r="F56">
            <v>184158620</v>
          </cell>
          <cell r="G56">
            <v>87323230</v>
          </cell>
          <cell r="H56">
            <v>0</v>
          </cell>
          <cell r="I56">
            <v>136004890</v>
          </cell>
          <cell r="J56">
            <v>1558927160</v>
          </cell>
          <cell r="K56">
            <v>99238625</v>
          </cell>
          <cell r="L56">
            <v>66383285</v>
          </cell>
          <cell r="M56">
            <v>0</v>
          </cell>
          <cell r="N56">
            <v>2249934216</v>
          </cell>
          <cell r="O56">
            <v>8701</v>
          </cell>
        </row>
        <row r="57">
          <cell r="A57">
            <v>55</v>
          </cell>
          <cell r="B57" t="str">
            <v>LANCASTER</v>
          </cell>
          <cell r="C57">
            <v>805964190</v>
          </cell>
          <cell r="D57">
            <v>343034646</v>
          </cell>
          <cell r="E57">
            <v>251832777</v>
          </cell>
          <cell r="F57">
            <v>18791320523</v>
          </cell>
          <cell r="G57">
            <v>6580078074</v>
          </cell>
          <cell r="H57">
            <v>402878490</v>
          </cell>
          <cell r="I57">
            <v>0</v>
          </cell>
          <cell r="J57">
            <v>1371773200</v>
          </cell>
          <cell r="K57">
            <v>739382000</v>
          </cell>
          <cell r="L57">
            <v>74534600</v>
          </cell>
          <cell r="M57">
            <v>0</v>
          </cell>
          <cell r="N57">
            <v>29360798500</v>
          </cell>
          <cell r="O57">
            <v>285407</v>
          </cell>
        </row>
        <row r="58">
          <cell r="A58">
            <v>56</v>
          </cell>
          <cell r="B58" t="str">
            <v>LINCOLN</v>
          </cell>
          <cell r="C58">
            <v>144671225</v>
          </cell>
          <cell r="D58">
            <v>170917819</v>
          </cell>
          <cell r="E58">
            <v>467013510</v>
          </cell>
          <cell r="F58">
            <v>1706827310</v>
          </cell>
          <cell r="G58">
            <v>594038220</v>
          </cell>
          <cell r="H58">
            <v>5269516</v>
          </cell>
          <cell r="I58">
            <v>33148002</v>
          </cell>
          <cell r="J58">
            <v>1705586028</v>
          </cell>
          <cell r="K58">
            <v>147718894</v>
          </cell>
          <cell r="L58">
            <v>55251922</v>
          </cell>
          <cell r="M58">
            <v>20680</v>
          </cell>
          <cell r="N58">
            <v>5030463126</v>
          </cell>
          <cell r="O58">
            <v>36288</v>
          </cell>
        </row>
        <row r="59">
          <cell r="A59">
            <v>57</v>
          </cell>
          <cell r="B59" t="str">
            <v>LOGAN</v>
          </cell>
          <cell r="C59">
            <v>9682372</v>
          </cell>
          <cell r="D59">
            <v>1911087</v>
          </cell>
          <cell r="E59">
            <v>485024</v>
          </cell>
          <cell r="F59">
            <v>15440186</v>
          </cell>
          <cell r="G59">
            <v>4213229</v>
          </cell>
          <cell r="H59">
            <v>0</v>
          </cell>
          <cell r="I59">
            <v>0</v>
          </cell>
          <cell r="J59">
            <v>275731206</v>
          </cell>
          <cell r="K59">
            <v>13732222</v>
          </cell>
          <cell r="L59">
            <v>4178076</v>
          </cell>
          <cell r="M59">
            <v>860</v>
          </cell>
          <cell r="N59">
            <v>325374262</v>
          </cell>
          <cell r="O59">
            <v>763</v>
          </cell>
        </row>
        <row r="60">
          <cell r="A60">
            <v>58</v>
          </cell>
          <cell r="B60" t="str">
            <v>LOUP</v>
          </cell>
          <cell r="C60">
            <v>5984190</v>
          </cell>
          <cell r="D60">
            <v>993475</v>
          </cell>
          <cell r="E60">
            <v>114880</v>
          </cell>
          <cell r="F60">
            <v>37353745</v>
          </cell>
          <cell r="G60">
            <v>2271470</v>
          </cell>
          <cell r="H60">
            <v>0</v>
          </cell>
          <cell r="I60">
            <v>0</v>
          </cell>
          <cell r="J60">
            <v>252326485</v>
          </cell>
          <cell r="K60">
            <v>12006015</v>
          </cell>
          <cell r="L60">
            <v>3864860</v>
          </cell>
          <cell r="M60">
            <v>0</v>
          </cell>
          <cell r="N60">
            <v>314915120</v>
          </cell>
          <cell r="O60">
            <v>632</v>
          </cell>
        </row>
        <row r="61">
          <cell r="A61">
            <v>59</v>
          </cell>
          <cell r="B61" t="str">
            <v>MADISON</v>
          </cell>
          <cell r="C61">
            <v>206562691</v>
          </cell>
          <cell r="D61">
            <v>25928580</v>
          </cell>
          <cell r="E61">
            <v>29373564</v>
          </cell>
          <cell r="F61">
            <v>1741341817</v>
          </cell>
          <cell r="G61">
            <v>660068403</v>
          </cell>
          <cell r="H61">
            <v>75422445</v>
          </cell>
          <cell r="I61">
            <v>145151</v>
          </cell>
          <cell r="J61">
            <v>1365606730</v>
          </cell>
          <cell r="K61">
            <v>87715516</v>
          </cell>
          <cell r="L61">
            <v>60682840</v>
          </cell>
          <cell r="M61">
            <v>0</v>
          </cell>
          <cell r="N61">
            <v>4252847737</v>
          </cell>
          <cell r="O61">
            <v>34876</v>
          </cell>
        </row>
        <row r="62">
          <cell r="A62">
            <v>60</v>
          </cell>
          <cell r="B62" t="str">
            <v>MCPHERSON</v>
          </cell>
          <cell r="C62">
            <v>4443389</v>
          </cell>
          <cell r="D62">
            <v>1826496</v>
          </cell>
          <cell r="E62">
            <v>415651</v>
          </cell>
          <cell r="F62">
            <v>4371836</v>
          </cell>
          <cell r="G62">
            <v>595801</v>
          </cell>
          <cell r="H62">
            <v>0</v>
          </cell>
          <cell r="I62">
            <v>0</v>
          </cell>
          <cell r="J62">
            <v>271665181</v>
          </cell>
          <cell r="K62">
            <v>9507897</v>
          </cell>
          <cell r="L62">
            <v>3376706</v>
          </cell>
          <cell r="M62">
            <v>0</v>
          </cell>
          <cell r="N62">
            <v>296202957</v>
          </cell>
          <cell r="O62">
            <v>539</v>
          </cell>
        </row>
        <row r="63">
          <cell r="A63">
            <v>61</v>
          </cell>
          <cell r="B63" t="str">
            <v>MERRICK</v>
          </cell>
          <cell r="C63">
            <v>64879146</v>
          </cell>
          <cell r="D63">
            <v>25611972</v>
          </cell>
          <cell r="E63">
            <v>122797263</v>
          </cell>
          <cell r="F63">
            <v>381655225</v>
          </cell>
          <cell r="G63">
            <v>78159192</v>
          </cell>
          <cell r="H63">
            <v>34105020</v>
          </cell>
          <cell r="I63">
            <v>997080</v>
          </cell>
          <cell r="J63">
            <v>928204265</v>
          </cell>
          <cell r="K63">
            <v>62238221</v>
          </cell>
          <cell r="L63">
            <v>50157880</v>
          </cell>
          <cell r="M63">
            <v>585</v>
          </cell>
          <cell r="N63">
            <v>1748805849</v>
          </cell>
          <cell r="O63">
            <v>7845</v>
          </cell>
        </row>
        <row r="64">
          <cell r="A64">
            <v>62</v>
          </cell>
          <cell r="B64" t="str">
            <v>MORRILL</v>
          </cell>
          <cell r="C64">
            <v>54997174</v>
          </cell>
          <cell r="D64">
            <v>41546031</v>
          </cell>
          <cell r="E64">
            <v>202408903</v>
          </cell>
          <cell r="F64">
            <v>119891740</v>
          </cell>
          <cell r="G64">
            <v>27313895</v>
          </cell>
          <cell r="H64">
            <v>18706595</v>
          </cell>
          <cell r="I64">
            <v>56825</v>
          </cell>
          <cell r="J64">
            <v>546882820</v>
          </cell>
          <cell r="K64">
            <v>55386695</v>
          </cell>
          <cell r="L64">
            <v>33004905</v>
          </cell>
          <cell r="M64">
            <v>2052625</v>
          </cell>
          <cell r="N64">
            <v>1102248208</v>
          </cell>
          <cell r="O64">
            <v>5042</v>
          </cell>
        </row>
        <row r="65">
          <cell r="A65">
            <v>63</v>
          </cell>
          <cell r="B65" t="str">
            <v>NANCE</v>
          </cell>
          <cell r="C65">
            <v>38871158</v>
          </cell>
          <cell r="D65">
            <v>5756593</v>
          </cell>
          <cell r="E65">
            <v>24028229</v>
          </cell>
          <cell r="F65">
            <v>111853290</v>
          </cell>
          <cell r="G65">
            <v>20694995</v>
          </cell>
          <cell r="H65">
            <v>6623545</v>
          </cell>
          <cell r="I65">
            <v>1690235</v>
          </cell>
          <cell r="J65">
            <v>790534230</v>
          </cell>
          <cell r="K65">
            <v>28013870</v>
          </cell>
          <cell r="L65">
            <v>37867235</v>
          </cell>
          <cell r="M65">
            <v>0</v>
          </cell>
          <cell r="N65">
            <v>1065933380</v>
          </cell>
          <cell r="O65">
            <v>3735</v>
          </cell>
        </row>
        <row r="66">
          <cell r="A66">
            <v>64</v>
          </cell>
          <cell r="B66" t="str">
            <v>NEMAHA</v>
          </cell>
          <cell r="C66">
            <v>36534156</v>
          </cell>
          <cell r="D66">
            <v>10246963</v>
          </cell>
          <cell r="E66">
            <v>17919505</v>
          </cell>
          <cell r="F66">
            <v>231956829</v>
          </cell>
          <cell r="G66">
            <v>34580344</v>
          </cell>
          <cell r="H66">
            <v>5236211</v>
          </cell>
          <cell r="I66">
            <v>1678353</v>
          </cell>
          <cell r="J66">
            <v>717325121</v>
          </cell>
          <cell r="K66">
            <v>45360870</v>
          </cell>
          <cell r="L66">
            <v>26139466</v>
          </cell>
          <cell r="M66">
            <v>0</v>
          </cell>
          <cell r="N66">
            <v>1126977818</v>
          </cell>
          <cell r="O66">
            <v>7248</v>
          </cell>
        </row>
        <row r="67">
          <cell r="A67">
            <v>65</v>
          </cell>
          <cell r="B67" t="str">
            <v>NUCKOLLS</v>
          </cell>
          <cell r="C67">
            <v>43074743</v>
          </cell>
          <cell r="D67">
            <v>28890508</v>
          </cell>
          <cell r="E67">
            <v>28507136</v>
          </cell>
          <cell r="F67">
            <v>68672900</v>
          </cell>
          <cell r="G67">
            <v>49933325</v>
          </cell>
          <cell r="H67">
            <v>2031200</v>
          </cell>
          <cell r="I67">
            <v>0</v>
          </cell>
          <cell r="J67">
            <v>809477965</v>
          </cell>
          <cell r="K67">
            <v>48335640</v>
          </cell>
          <cell r="L67">
            <v>33249410</v>
          </cell>
          <cell r="M67">
            <v>0</v>
          </cell>
          <cell r="N67">
            <v>1112172827</v>
          </cell>
          <cell r="O67">
            <v>4500</v>
          </cell>
        </row>
        <row r="68">
          <cell r="A68">
            <v>66</v>
          </cell>
          <cell r="B68" t="str">
            <v>OTOE</v>
          </cell>
          <cell r="C68">
            <v>85963777</v>
          </cell>
          <cell r="D68">
            <v>43725913</v>
          </cell>
          <cell r="E68">
            <v>29789431</v>
          </cell>
          <cell r="F68">
            <v>742199920</v>
          </cell>
          <cell r="G68">
            <v>145463770</v>
          </cell>
          <cell r="H68">
            <v>19596220</v>
          </cell>
          <cell r="I68">
            <v>24830700</v>
          </cell>
          <cell r="J68">
            <v>1205735090</v>
          </cell>
          <cell r="K68">
            <v>63046880</v>
          </cell>
          <cell r="L68">
            <v>29283570</v>
          </cell>
          <cell r="M68">
            <v>0</v>
          </cell>
          <cell r="N68">
            <v>2389635271</v>
          </cell>
          <cell r="O68">
            <v>15740</v>
          </cell>
        </row>
        <row r="69">
          <cell r="A69">
            <v>67</v>
          </cell>
          <cell r="B69" t="str">
            <v>PAWNEE</v>
          </cell>
          <cell r="C69">
            <v>14804400</v>
          </cell>
          <cell r="D69">
            <v>5962607</v>
          </cell>
          <cell r="E69">
            <v>17425415</v>
          </cell>
          <cell r="F69">
            <v>44952780</v>
          </cell>
          <cell r="G69">
            <v>19679735</v>
          </cell>
          <cell r="H69">
            <v>9150705</v>
          </cell>
          <cell r="I69">
            <v>443895</v>
          </cell>
          <cell r="J69">
            <v>598269835</v>
          </cell>
          <cell r="K69">
            <v>37371870</v>
          </cell>
          <cell r="L69">
            <v>19119135</v>
          </cell>
          <cell r="M69">
            <v>0</v>
          </cell>
          <cell r="N69">
            <v>767180377</v>
          </cell>
          <cell r="O69">
            <v>2773</v>
          </cell>
        </row>
        <row r="70">
          <cell r="A70">
            <v>68</v>
          </cell>
          <cell r="B70" t="str">
            <v>PERKINS</v>
          </cell>
          <cell r="C70">
            <v>63914675</v>
          </cell>
          <cell r="D70">
            <v>40490871</v>
          </cell>
          <cell r="E70">
            <v>5097403</v>
          </cell>
          <cell r="F70">
            <v>94529227</v>
          </cell>
          <cell r="G70">
            <v>53763877</v>
          </cell>
          <cell r="H70">
            <v>13385246</v>
          </cell>
          <cell r="I70">
            <v>0</v>
          </cell>
          <cell r="J70">
            <v>834080852</v>
          </cell>
          <cell r="K70">
            <v>42095663</v>
          </cell>
          <cell r="L70">
            <v>25417478</v>
          </cell>
          <cell r="M70">
            <v>18200</v>
          </cell>
          <cell r="N70">
            <v>1172793492</v>
          </cell>
          <cell r="O70">
            <v>2970</v>
          </cell>
        </row>
        <row r="71">
          <cell r="A71">
            <v>69</v>
          </cell>
          <cell r="B71" t="str">
            <v>PHELPS</v>
          </cell>
          <cell r="C71">
            <v>122261557</v>
          </cell>
          <cell r="D71">
            <v>65650515</v>
          </cell>
          <cell r="E71">
            <v>22967145</v>
          </cell>
          <cell r="F71">
            <v>360522466</v>
          </cell>
          <cell r="G71">
            <v>103791669</v>
          </cell>
          <cell r="H71">
            <v>22291973</v>
          </cell>
          <cell r="I71">
            <v>2550</v>
          </cell>
          <cell r="J71">
            <v>1438457819</v>
          </cell>
          <cell r="K71">
            <v>103141710</v>
          </cell>
          <cell r="L71">
            <v>47334296</v>
          </cell>
          <cell r="M71">
            <v>2205760</v>
          </cell>
          <cell r="N71">
            <v>2288627460</v>
          </cell>
          <cell r="O71">
            <v>9188</v>
          </cell>
        </row>
        <row r="72">
          <cell r="A72">
            <v>70</v>
          </cell>
          <cell r="B72" t="str">
            <v>PIERCE</v>
          </cell>
          <cell r="C72">
            <v>84355792</v>
          </cell>
          <cell r="D72">
            <v>8736577</v>
          </cell>
          <cell r="E72">
            <v>12133011</v>
          </cell>
          <cell r="F72">
            <v>335383615</v>
          </cell>
          <cell r="G72">
            <v>45260720</v>
          </cell>
          <cell r="H72">
            <v>59414180</v>
          </cell>
          <cell r="I72">
            <v>173090</v>
          </cell>
          <cell r="J72">
            <v>1221131381</v>
          </cell>
          <cell r="K72">
            <v>90547495</v>
          </cell>
          <cell r="L72">
            <v>54005490</v>
          </cell>
          <cell r="M72">
            <v>0</v>
          </cell>
          <cell r="N72">
            <v>1911141351</v>
          </cell>
          <cell r="O72">
            <v>7266</v>
          </cell>
        </row>
        <row r="73">
          <cell r="A73">
            <v>71</v>
          </cell>
          <cell r="B73" t="str">
            <v>PLATTE</v>
          </cell>
          <cell r="C73">
            <v>406057645</v>
          </cell>
          <cell r="D73">
            <v>32764809</v>
          </cell>
          <cell r="E73">
            <v>92333907</v>
          </cell>
          <cell r="F73">
            <v>1845244833</v>
          </cell>
          <cell r="G73">
            <v>507415945</v>
          </cell>
          <cell r="H73">
            <v>260218705</v>
          </cell>
          <cell r="I73">
            <v>5426705</v>
          </cell>
          <cell r="J73">
            <v>2194900330</v>
          </cell>
          <cell r="K73">
            <v>178703340</v>
          </cell>
          <cell r="L73">
            <v>157329090</v>
          </cell>
          <cell r="M73">
            <v>166575</v>
          </cell>
          <cell r="N73">
            <v>5680561884</v>
          </cell>
          <cell r="O73">
            <v>32237</v>
          </cell>
        </row>
        <row r="74">
          <cell r="A74">
            <v>72</v>
          </cell>
          <cell r="B74" t="str">
            <v>POLK</v>
          </cell>
          <cell r="C74">
            <v>54683684</v>
          </cell>
          <cell r="D74">
            <v>7078144</v>
          </cell>
          <cell r="E74">
            <v>20800347</v>
          </cell>
          <cell r="F74">
            <v>177945573</v>
          </cell>
          <cell r="G74">
            <v>33239333</v>
          </cell>
          <cell r="H74">
            <v>1181950</v>
          </cell>
          <cell r="I74">
            <v>16572887</v>
          </cell>
          <cell r="J74">
            <v>1343469838</v>
          </cell>
          <cell r="K74">
            <v>80639396</v>
          </cell>
          <cell r="L74">
            <v>48572289</v>
          </cell>
          <cell r="M74">
            <v>0</v>
          </cell>
          <cell r="N74">
            <v>1784183441</v>
          </cell>
          <cell r="O74">
            <v>5406</v>
          </cell>
        </row>
        <row r="75">
          <cell r="A75">
            <v>73</v>
          </cell>
          <cell r="B75" t="str">
            <v>RED WILLOW</v>
          </cell>
          <cell r="C75">
            <v>62208518</v>
          </cell>
          <cell r="D75">
            <v>16399043</v>
          </cell>
          <cell r="E75">
            <v>29500193</v>
          </cell>
          <cell r="F75">
            <v>408246913</v>
          </cell>
          <cell r="G75">
            <v>154150825</v>
          </cell>
          <cell r="H75">
            <v>0</v>
          </cell>
          <cell r="I75">
            <v>0</v>
          </cell>
          <cell r="J75">
            <v>514879449</v>
          </cell>
          <cell r="K75">
            <v>46275296</v>
          </cell>
          <cell r="L75">
            <v>22741281</v>
          </cell>
          <cell r="M75">
            <v>9043530</v>
          </cell>
          <cell r="N75">
            <v>1263445048</v>
          </cell>
          <cell r="O75">
            <v>11055</v>
          </cell>
        </row>
        <row r="76">
          <cell r="A76">
            <v>74</v>
          </cell>
          <cell r="B76" t="str">
            <v>RICHARDSON</v>
          </cell>
          <cell r="C76">
            <v>37173728</v>
          </cell>
          <cell r="D76">
            <v>20180099</v>
          </cell>
          <cell r="E76">
            <v>63212590</v>
          </cell>
          <cell r="F76">
            <v>198058217</v>
          </cell>
          <cell r="G76">
            <v>32452540</v>
          </cell>
          <cell r="H76">
            <v>6620598</v>
          </cell>
          <cell r="I76">
            <v>1673682</v>
          </cell>
          <cell r="J76">
            <v>943398206</v>
          </cell>
          <cell r="K76">
            <v>33217443</v>
          </cell>
          <cell r="L76">
            <v>33870325</v>
          </cell>
          <cell r="M76">
            <v>3938010</v>
          </cell>
          <cell r="N76">
            <v>1373795438</v>
          </cell>
          <cell r="O76">
            <v>8363</v>
          </cell>
        </row>
        <row r="77">
          <cell r="A77">
            <v>75</v>
          </cell>
          <cell r="B77" t="str">
            <v>ROCK</v>
          </cell>
          <cell r="C77">
            <v>15903679</v>
          </cell>
          <cell r="D77">
            <v>1652131</v>
          </cell>
          <cell r="E77">
            <v>448214</v>
          </cell>
          <cell r="F77">
            <v>33062600</v>
          </cell>
          <cell r="G77">
            <v>9592025</v>
          </cell>
          <cell r="H77">
            <v>0</v>
          </cell>
          <cell r="I77">
            <v>1890555</v>
          </cell>
          <cell r="J77">
            <v>561193810</v>
          </cell>
          <cell r="K77">
            <v>17936390</v>
          </cell>
          <cell r="L77">
            <v>17292665</v>
          </cell>
          <cell r="M77">
            <v>0</v>
          </cell>
          <cell r="N77">
            <v>658972069</v>
          </cell>
          <cell r="O77">
            <v>1526</v>
          </cell>
        </row>
        <row r="78">
          <cell r="A78">
            <v>76</v>
          </cell>
          <cell r="B78" t="str">
            <v>SALINE</v>
          </cell>
          <cell r="C78">
            <v>115116845</v>
          </cell>
          <cell r="D78">
            <v>56824474</v>
          </cell>
          <cell r="E78">
            <v>32513556</v>
          </cell>
          <cell r="F78">
            <v>520663270</v>
          </cell>
          <cell r="G78">
            <v>122806785</v>
          </cell>
          <cell r="H78">
            <v>48089010</v>
          </cell>
          <cell r="I78">
            <v>3715725</v>
          </cell>
          <cell r="J78">
            <v>1347878475</v>
          </cell>
          <cell r="K78">
            <v>58611965</v>
          </cell>
          <cell r="L78">
            <v>51838295</v>
          </cell>
          <cell r="M78">
            <v>0</v>
          </cell>
          <cell r="N78">
            <v>2358058400</v>
          </cell>
          <cell r="O78">
            <v>14200</v>
          </cell>
        </row>
        <row r="79">
          <cell r="A79">
            <v>77</v>
          </cell>
          <cell r="B79" t="str">
            <v>SARPY</v>
          </cell>
          <cell r="C79">
            <v>463598327</v>
          </cell>
          <cell r="D79">
            <v>63239205</v>
          </cell>
          <cell r="E79">
            <v>48185303</v>
          </cell>
          <cell r="F79">
            <v>12336418472</v>
          </cell>
          <cell r="G79">
            <v>2830079479</v>
          </cell>
          <cell r="H79">
            <v>1610923983</v>
          </cell>
          <cell r="I79">
            <v>20479673</v>
          </cell>
          <cell r="J79">
            <v>309575353</v>
          </cell>
          <cell r="K79">
            <v>249014179</v>
          </cell>
          <cell r="L79">
            <v>71759162</v>
          </cell>
          <cell r="M79">
            <v>0</v>
          </cell>
          <cell r="N79">
            <v>18003273136</v>
          </cell>
          <cell r="O79">
            <v>158840</v>
          </cell>
        </row>
        <row r="80">
          <cell r="A80">
            <v>78</v>
          </cell>
          <cell r="B80" t="str">
            <v>SAUNDERS</v>
          </cell>
          <cell r="C80">
            <v>138306974</v>
          </cell>
          <cell r="D80">
            <v>23797702</v>
          </cell>
          <cell r="E80">
            <v>53589652</v>
          </cell>
          <cell r="F80">
            <v>1640837790</v>
          </cell>
          <cell r="G80">
            <v>148336475</v>
          </cell>
          <cell r="H80">
            <v>940</v>
          </cell>
          <cell r="I80">
            <v>8419487</v>
          </cell>
          <cell r="J80">
            <v>1867447343</v>
          </cell>
          <cell r="K80">
            <v>176198936</v>
          </cell>
          <cell r="L80">
            <v>65975312</v>
          </cell>
          <cell r="M80">
            <v>0</v>
          </cell>
          <cell r="N80">
            <v>4122910611</v>
          </cell>
          <cell r="O80">
            <v>20780</v>
          </cell>
        </row>
        <row r="81">
          <cell r="A81">
            <v>79</v>
          </cell>
          <cell r="B81" t="str">
            <v>SCOTTS BLUFF</v>
          </cell>
          <cell r="C81">
            <v>170445079</v>
          </cell>
          <cell r="D81">
            <v>72988873</v>
          </cell>
          <cell r="E81">
            <v>213797374</v>
          </cell>
          <cell r="F81">
            <v>1411904163</v>
          </cell>
          <cell r="G81">
            <v>548605085</v>
          </cell>
          <cell r="H81">
            <v>37156973</v>
          </cell>
          <cell r="I81">
            <v>602870</v>
          </cell>
          <cell r="J81">
            <v>440691601</v>
          </cell>
          <cell r="K81">
            <v>121614055</v>
          </cell>
          <cell r="L81">
            <v>39581609</v>
          </cell>
          <cell r="M81">
            <v>1025246</v>
          </cell>
          <cell r="N81">
            <v>3058412928</v>
          </cell>
          <cell r="O81">
            <v>36970</v>
          </cell>
        </row>
        <row r="82">
          <cell r="A82">
            <v>80</v>
          </cell>
          <cell r="B82" t="str">
            <v>SEWARD</v>
          </cell>
          <cell r="C82">
            <v>110369382</v>
          </cell>
          <cell r="D82">
            <v>45030797</v>
          </cell>
          <cell r="E82">
            <v>67967552</v>
          </cell>
          <cell r="F82">
            <v>1001897310</v>
          </cell>
          <cell r="G82">
            <v>155508565</v>
          </cell>
          <cell r="H82">
            <v>21973840</v>
          </cell>
          <cell r="I82">
            <v>1446382</v>
          </cell>
          <cell r="J82">
            <v>1584504203</v>
          </cell>
          <cell r="K82">
            <v>101593498</v>
          </cell>
          <cell r="L82">
            <v>62261465</v>
          </cell>
          <cell r="M82">
            <v>0</v>
          </cell>
          <cell r="N82">
            <v>3152552994</v>
          </cell>
          <cell r="O82">
            <v>16750</v>
          </cell>
        </row>
        <row r="83">
          <cell r="A83">
            <v>81</v>
          </cell>
          <cell r="B83" t="str">
            <v>SHERIDAN</v>
          </cell>
          <cell r="C83">
            <v>35074842</v>
          </cell>
          <cell r="D83">
            <v>22480671</v>
          </cell>
          <cell r="E83">
            <v>67527854</v>
          </cell>
          <cell r="F83">
            <v>106319072</v>
          </cell>
          <cell r="G83">
            <v>32895360</v>
          </cell>
          <cell r="H83">
            <v>0</v>
          </cell>
          <cell r="I83">
            <v>52699</v>
          </cell>
          <cell r="J83">
            <v>741406677</v>
          </cell>
          <cell r="K83">
            <v>58004251</v>
          </cell>
          <cell r="L83">
            <v>25075438</v>
          </cell>
          <cell r="M83">
            <v>0</v>
          </cell>
          <cell r="N83">
            <v>1088836864</v>
          </cell>
          <cell r="O83">
            <v>5469</v>
          </cell>
        </row>
        <row r="84">
          <cell r="A84">
            <v>82</v>
          </cell>
          <cell r="B84" t="str">
            <v>SHERMAN</v>
          </cell>
          <cell r="C84">
            <v>31086065</v>
          </cell>
          <cell r="D84">
            <v>7158911</v>
          </cell>
          <cell r="E84">
            <v>18391631</v>
          </cell>
          <cell r="F84">
            <v>73844580</v>
          </cell>
          <cell r="G84">
            <v>17878125</v>
          </cell>
          <cell r="H84">
            <v>225355</v>
          </cell>
          <cell r="I84">
            <v>28565850</v>
          </cell>
          <cell r="J84">
            <v>667170490</v>
          </cell>
          <cell r="K84">
            <v>49753110</v>
          </cell>
          <cell r="L84">
            <v>29938565</v>
          </cell>
          <cell r="M84">
            <v>0</v>
          </cell>
          <cell r="N84">
            <v>924012682</v>
          </cell>
          <cell r="O84">
            <v>3152</v>
          </cell>
        </row>
        <row r="85">
          <cell r="A85">
            <v>83</v>
          </cell>
          <cell r="B85" t="str">
            <v>SIOUX</v>
          </cell>
          <cell r="C85">
            <v>18829412</v>
          </cell>
          <cell r="D85">
            <v>15078809</v>
          </cell>
          <cell r="E85">
            <v>53804815</v>
          </cell>
          <cell r="F85">
            <v>18383886</v>
          </cell>
          <cell r="G85">
            <v>6210828</v>
          </cell>
          <cell r="H85">
            <v>0</v>
          </cell>
          <cell r="I85">
            <v>560291</v>
          </cell>
          <cell r="J85">
            <v>496178040</v>
          </cell>
          <cell r="K85">
            <v>34963519</v>
          </cell>
          <cell r="L85">
            <v>16453165</v>
          </cell>
          <cell r="M85">
            <v>2000</v>
          </cell>
          <cell r="N85">
            <v>660464765</v>
          </cell>
          <cell r="O85">
            <v>1311</v>
          </cell>
        </row>
        <row r="86">
          <cell r="A86">
            <v>84</v>
          </cell>
          <cell r="B86" t="str">
            <v>STANTON</v>
          </cell>
          <cell r="C86">
            <v>113286237</v>
          </cell>
          <cell r="D86">
            <v>47378153</v>
          </cell>
          <cell r="E86">
            <v>3787777</v>
          </cell>
          <cell r="F86">
            <v>272232295</v>
          </cell>
          <cell r="G86">
            <v>26201265</v>
          </cell>
          <cell r="H86">
            <v>22619205</v>
          </cell>
          <cell r="I86">
            <v>0</v>
          </cell>
          <cell r="J86">
            <v>957634460</v>
          </cell>
          <cell r="K86">
            <v>68080875</v>
          </cell>
          <cell r="L86">
            <v>64414410</v>
          </cell>
          <cell r="M86">
            <v>0</v>
          </cell>
          <cell r="N86">
            <v>1575634677</v>
          </cell>
          <cell r="O86">
            <v>6129</v>
          </cell>
        </row>
        <row r="87">
          <cell r="A87">
            <v>85</v>
          </cell>
          <cell r="B87" t="str">
            <v>THAYER</v>
          </cell>
          <cell r="C87">
            <v>70079656</v>
          </cell>
          <cell r="D87">
            <v>43745093</v>
          </cell>
          <cell r="E87">
            <v>86535575</v>
          </cell>
          <cell r="F87">
            <v>166647908</v>
          </cell>
          <cell r="G87">
            <v>41650368</v>
          </cell>
          <cell r="H87">
            <v>11896069</v>
          </cell>
          <cell r="I87">
            <v>2347490</v>
          </cell>
          <cell r="J87">
            <v>1338693995</v>
          </cell>
          <cell r="K87">
            <v>46195825</v>
          </cell>
          <cell r="L87">
            <v>55220690</v>
          </cell>
          <cell r="M87">
            <v>0</v>
          </cell>
          <cell r="N87">
            <v>1863012669</v>
          </cell>
          <cell r="O87">
            <v>5228</v>
          </cell>
        </row>
        <row r="88">
          <cell r="A88">
            <v>86</v>
          </cell>
          <cell r="B88" t="str">
            <v>THOMAS</v>
          </cell>
          <cell r="C88">
            <v>7004590</v>
          </cell>
          <cell r="D88">
            <v>13993612</v>
          </cell>
          <cell r="E88">
            <v>70116546</v>
          </cell>
          <cell r="F88">
            <v>16420338</v>
          </cell>
          <cell r="G88">
            <v>6193129</v>
          </cell>
          <cell r="H88">
            <v>0</v>
          </cell>
          <cell r="I88">
            <v>0</v>
          </cell>
          <cell r="J88">
            <v>176151095</v>
          </cell>
          <cell r="K88">
            <v>16153570</v>
          </cell>
          <cell r="L88">
            <v>3452555</v>
          </cell>
          <cell r="M88">
            <v>1520</v>
          </cell>
          <cell r="N88">
            <v>309486955</v>
          </cell>
          <cell r="O88">
            <v>647</v>
          </cell>
        </row>
        <row r="89">
          <cell r="A89">
            <v>87</v>
          </cell>
          <cell r="B89" t="str">
            <v>THURSTON</v>
          </cell>
          <cell r="C89">
            <v>46448598</v>
          </cell>
          <cell r="D89">
            <v>11131910</v>
          </cell>
          <cell r="E89">
            <v>16667756</v>
          </cell>
          <cell r="F89">
            <v>99392559</v>
          </cell>
          <cell r="G89">
            <v>19115245</v>
          </cell>
          <cell r="H89">
            <v>2747725</v>
          </cell>
          <cell r="I89">
            <v>1292970</v>
          </cell>
          <cell r="J89">
            <v>744447630</v>
          </cell>
          <cell r="K89">
            <v>25936325</v>
          </cell>
          <cell r="L89">
            <v>28164355</v>
          </cell>
          <cell r="M89">
            <v>0</v>
          </cell>
          <cell r="N89">
            <v>995345073</v>
          </cell>
          <cell r="O89">
            <v>6940</v>
          </cell>
        </row>
        <row r="90">
          <cell r="A90">
            <v>88</v>
          </cell>
          <cell r="B90" t="str">
            <v>VALLEY</v>
          </cell>
          <cell r="C90">
            <v>48746676</v>
          </cell>
          <cell r="D90">
            <v>6292159</v>
          </cell>
          <cell r="E90">
            <v>10971485</v>
          </cell>
          <cell r="F90">
            <v>117945815</v>
          </cell>
          <cell r="G90">
            <v>33803530</v>
          </cell>
          <cell r="H90">
            <v>16544980</v>
          </cell>
          <cell r="I90">
            <v>0</v>
          </cell>
          <cell r="J90">
            <v>604415230</v>
          </cell>
          <cell r="K90">
            <v>41656040</v>
          </cell>
          <cell r="L90">
            <v>24590285</v>
          </cell>
          <cell r="M90">
            <v>0</v>
          </cell>
          <cell r="N90">
            <v>904966200</v>
          </cell>
          <cell r="O90">
            <v>4260</v>
          </cell>
        </row>
        <row r="91">
          <cell r="A91">
            <v>89</v>
          </cell>
          <cell r="B91" t="str">
            <v>WASHINGTON</v>
          </cell>
          <cell r="C91">
            <v>283780062</v>
          </cell>
          <cell r="D91">
            <v>31579300</v>
          </cell>
          <cell r="E91">
            <v>39466447</v>
          </cell>
          <cell r="F91">
            <v>1275736860</v>
          </cell>
          <cell r="G91">
            <v>179703010</v>
          </cell>
          <cell r="H91">
            <v>208348545</v>
          </cell>
          <cell r="I91">
            <v>4510230</v>
          </cell>
          <cell r="J91">
            <v>882959240</v>
          </cell>
          <cell r="K91">
            <v>452703510</v>
          </cell>
          <cell r="L91">
            <v>77662210</v>
          </cell>
          <cell r="M91">
            <v>100</v>
          </cell>
          <cell r="N91">
            <v>3436449514</v>
          </cell>
          <cell r="O91">
            <v>20234</v>
          </cell>
        </row>
        <row r="92">
          <cell r="A92">
            <v>90</v>
          </cell>
          <cell r="B92" t="str">
            <v>WAYNE</v>
          </cell>
          <cell r="C92">
            <v>61068979</v>
          </cell>
          <cell r="D92">
            <v>22534462</v>
          </cell>
          <cell r="E92">
            <v>2597479</v>
          </cell>
          <cell r="F92">
            <v>334273140</v>
          </cell>
          <cell r="G92">
            <v>132312950</v>
          </cell>
          <cell r="H92">
            <v>9566355</v>
          </cell>
          <cell r="I92">
            <v>0</v>
          </cell>
          <cell r="J92">
            <v>1265470795</v>
          </cell>
          <cell r="K92">
            <v>72817950</v>
          </cell>
          <cell r="L92">
            <v>41304520</v>
          </cell>
          <cell r="M92">
            <v>0</v>
          </cell>
          <cell r="N92">
            <v>1941946630</v>
          </cell>
          <cell r="O92">
            <v>9595</v>
          </cell>
        </row>
        <row r="93">
          <cell r="A93">
            <v>91</v>
          </cell>
          <cell r="B93" t="str">
            <v>WEBSTER</v>
          </cell>
          <cell r="C93">
            <v>35547670</v>
          </cell>
          <cell r="D93">
            <v>27968541</v>
          </cell>
          <cell r="E93">
            <v>18666995</v>
          </cell>
          <cell r="F93">
            <v>85691420</v>
          </cell>
          <cell r="G93">
            <v>23127295</v>
          </cell>
          <cell r="H93">
            <v>1942465</v>
          </cell>
          <cell r="I93">
            <v>2531160</v>
          </cell>
          <cell r="J93">
            <v>707677425</v>
          </cell>
          <cell r="K93">
            <v>33948420</v>
          </cell>
          <cell r="L93">
            <v>25572685</v>
          </cell>
          <cell r="M93">
            <v>0</v>
          </cell>
          <cell r="N93">
            <v>962674076</v>
          </cell>
          <cell r="O93">
            <v>3812</v>
          </cell>
        </row>
        <row r="94">
          <cell r="A94">
            <v>92</v>
          </cell>
          <cell r="B94" t="str">
            <v>WHEELER</v>
          </cell>
          <cell r="C94">
            <v>19906641</v>
          </cell>
          <cell r="D94">
            <v>813815</v>
          </cell>
          <cell r="E94">
            <v>198094</v>
          </cell>
          <cell r="F94">
            <v>17248465</v>
          </cell>
          <cell r="G94">
            <v>2975810</v>
          </cell>
          <cell r="H94">
            <v>0</v>
          </cell>
          <cell r="I94">
            <v>446640</v>
          </cell>
          <cell r="J94">
            <v>504429827</v>
          </cell>
          <cell r="K94">
            <v>15735950</v>
          </cell>
          <cell r="L94">
            <v>26429935</v>
          </cell>
          <cell r="M94">
            <v>0</v>
          </cell>
          <cell r="N94">
            <v>588185177</v>
          </cell>
          <cell r="O94">
            <v>818</v>
          </cell>
        </row>
        <row r="95">
          <cell r="A95">
            <v>93</v>
          </cell>
          <cell r="B95" t="str">
            <v>YORK</v>
          </cell>
          <cell r="C95">
            <v>146588423</v>
          </cell>
          <cell r="D95">
            <v>21178202</v>
          </cell>
          <cell r="E95">
            <v>57488655</v>
          </cell>
          <cell r="F95">
            <v>619990875</v>
          </cell>
          <cell r="G95">
            <v>218915138</v>
          </cell>
          <cell r="H95">
            <v>82650269</v>
          </cell>
          <cell r="I95">
            <v>1842677</v>
          </cell>
          <cell r="J95">
            <v>2111106364</v>
          </cell>
          <cell r="K95">
            <v>70125766</v>
          </cell>
          <cell r="L95">
            <v>67566895</v>
          </cell>
          <cell r="M95">
            <v>0</v>
          </cell>
          <cell r="N95">
            <v>3397453264</v>
          </cell>
          <cell r="O95">
            <v>13665</v>
          </cell>
        </row>
        <row r="96">
          <cell r="A96">
            <v>94</v>
          </cell>
          <cell r="B96" t="str">
            <v>STATE TOTALS</v>
          </cell>
          <cell r="C96">
            <v>10335293754</v>
          </cell>
          <cell r="D96">
            <v>3239479822</v>
          </cell>
          <cell r="E96">
            <v>5477513963</v>
          </cell>
          <cell r="F96">
            <v>101766593970</v>
          </cell>
          <cell r="G96">
            <v>32522952113</v>
          </cell>
          <cell r="H96">
            <v>6480775652</v>
          </cell>
          <cell r="I96">
            <v>567159512</v>
          </cell>
          <cell r="J96">
            <v>89039572364</v>
          </cell>
          <cell r="K96">
            <v>6803203401</v>
          </cell>
          <cell r="L96">
            <v>3887001311</v>
          </cell>
          <cell r="M96">
            <v>120551623</v>
          </cell>
          <cell r="N96">
            <v>260240097486</v>
          </cell>
          <cell r="O96">
            <v>1826341</v>
          </cell>
        </row>
      </sheetData>
      <sheetData sheetId="36">
        <row r="3">
          <cell r="B3">
            <v>1</v>
          </cell>
          <cell r="C3" t="str">
            <v>ADAMS</v>
          </cell>
          <cell r="D3" t="str">
            <v>CITY OR VILLAGE</v>
          </cell>
          <cell r="E3">
            <v>94</v>
          </cell>
          <cell r="F3" t="str">
            <v>AYR</v>
          </cell>
          <cell r="G3">
            <v>644844</v>
          </cell>
          <cell r="H3">
            <v>67418</v>
          </cell>
          <cell r="I3">
            <v>261425</v>
          </cell>
          <cell r="J3">
            <v>2499886</v>
          </cell>
          <cell r="K3">
            <v>521255</v>
          </cell>
          <cell r="L3">
            <v>0</v>
          </cell>
          <cell r="M3">
            <v>0</v>
          </cell>
          <cell r="N3">
            <v>89545</v>
          </cell>
          <cell r="O3">
            <v>11035</v>
          </cell>
          <cell r="P3">
            <v>10500</v>
          </cell>
          <cell r="Q3">
            <v>0</v>
          </cell>
          <cell r="R3">
            <v>4105908</v>
          </cell>
        </row>
        <row r="4">
          <cell r="B4">
            <v>1</v>
          </cell>
          <cell r="C4" t="str">
            <v>ADAMS</v>
          </cell>
          <cell r="D4" t="str">
            <v>CITY OR VILLAGE</v>
          </cell>
          <cell r="E4">
            <v>25224</v>
          </cell>
          <cell r="F4" t="str">
            <v>HASTINGS</v>
          </cell>
          <cell r="G4">
            <v>67526782</v>
          </cell>
          <cell r="H4">
            <v>16192337</v>
          </cell>
          <cell r="I4">
            <v>19746366</v>
          </cell>
          <cell r="J4">
            <v>1047712107</v>
          </cell>
          <cell r="K4">
            <v>356378135</v>
          </cell>
          <cell r="L4">
            <v>26502829</v>
          </cell>
          <cell r="M4">
            <v>0</v>
          </cell>
          <cell r="N4">
            <v>4330398</v>
          </cell>
          <cell r="O4">
            <v>667373</v>
          </cell>
          <cell r="P4">
            <v>778807</v>
          </cell>
          <cell r="Q4">
            <v>0</v>
          </cell>
          <cell r="R4">
            <v>1539835134</v>
          </cell>
        </row>
        <row r="5">
          <cell r="B5">
            <v>1</v>
          </cell>
          <cell r="C5" t="str">
            <v>ADAMS</v>
          </cell>
          <cell r="D5" t="str">
            <v>CITY OR VILLAGE</v>
          </cell>
          <cell r="E5">
            <v>214</v>
          </cell>
          <cell r="F5" t="str">
            <v>HOLSTEIN</v>
          </cell>
          <cell r="G5">
            <v>539205</v>
          </cell>
          <cell r="H5">
            <v>0</v>
          </cell>
          <cell r="I5">
            <v>0</v>
          </cell>
          <cell r="J5">
            <v>7133123</v>
          </cell>
          <cell r="K5">
            <v>1462070</v>
          </cell>
          <cell r="L5">
            <v>0</v>
          </cell>
          <cell r="M5">
            <v>0</v>
          </cell>
          <cell r="N5">
            <v>49546</v>
          </cell>
          <cell r="O5">
            <v>0</v>
          </cell>
          <cell r="P5">
            <v>0</v>
          </cell>
          <cell r="Q5">
            <v>0</v>
          </cell>
          <cell r="R5">
            <v>9183944</v>
          </cell>
        </row>
        <row r="6">
          <cell r="B6">
            <v>1</v>
          </cell>
          <cell r="C6" t="str">
            <v>ADAMS</v>
          </cell>
          <cell r="D6" t="str">
            <v>CITY OR VILLAGE</v>
          </cell>
          <cell r="E6">
            <v>757</v>
          </cell>
          <cell r="F6" t="str">
            <v>JUNIATA</v>
          </cell>
          <cell r="G6">
            <v>855638</v>
          </cell>
          <cell r="H6">
            <v>422742</v>
          </cell>
          <cell r="I6">
            <v>551075</v>
          </cell>
          <cell r="J6">
            <v>30489632</v>
          </cell>
          <cell r="K6">
            <v>5441287</v>
          </cell>
          <cell r="L6">
            <v>193096</v>
          </cell>
          <cell r="M6">
            <v>0</v>
          </cell>
          <cell r="N6">
            <v>100315</v>
          </cell>
          <cell r="O6">
            <v>0</v>
          </cell>
          <cell r="P6">
            <v>0</v>
          </cell>
          <cell r="Q6">
            <v>0</v>
          </cell>
          <cell r="R6">
            <v>38053785</v>
          </cell>
        </row>
        <row r="7">
          <cell r="B7">
            <v>1</v>
          </cell>
          <cell r="C7" t="str">
            <v>ADAMS</v>
          </cell>
          <cell r="D7" t="str">
            <v>CITY OR VILLAGE</v>
          </cell>
          <cell r="E7">
            <v>880</v>
          </cell>
          <cell r="F7" t="str">
            <v>KENESAW</v>
          </cell>
          <cell r="G7">
            <v>1062415</v>
          </cell>
          <cell r="H7">
            <v>788198</v>
          </cell>
          <cell r="I7">
            <v>1203077</v>
          </cell>
          <cell r="J7">
            <v>38153524</v>
          </cell>
          <cell r="K7">
            <v>6658449</v>
          </cell>
          <cell r="L7">
            <v>0</v>
          </cell>
          <cell r="M7">
            <v>0</v>
          </cell>
          <cell r="N7">
            <v>563405</v>
          </cell>
          <cell r="O7">
            <v>381980</v>
          </cell>
          <cell r="P7">
            <v>52820</v>
          </cell>
          <cell r="Q7">
            <v>0</v>
          </cell>
          <cell r="R7">
            <v>48863868</v>
          </cell>
        </row>
        <row r="8">
          <cell r="B8">
            <v>1</v>
          </cell>
          <cell r="C8" t="str">
            <v>ADAMS</v>
          </cell>
          <cell r="D8" t="str">
            <v>CITY OR VILLAGE</v>
          </cell>
          <cell r="E8">
            <v>66</v>
          </cell>
          <cell r="F8" t="str">
            <v>PROSSER</v>
          </cell>
          <cell r="G8">
            <v>215826</v>
          </cell>
          <cell r="H8">
            <v>7938</v>
          </cell>
          <cell r="I8">
            <v>375</v>
          </cell>
          <cell r="J8">
            <v>2718832</v>
          </cell>
          <cell r="K8">
            <v>102151</v>
          </cell>
          <cell r="L8">
            <v>12450</v>
          </cell>
          <cell r="M8">
            <v>0</v>
          </cell>
          <cell r="N8">
            <v>96168</v>
          </cell>
          <cell r="O8">
            <v>152002</v>
          </cell>
          <cell r="P8">
            <v>4592</v>
          </cell>
          <cell r="Q8">
            <v>0</v>
          </cell>
          <cell r="R8">
            <v>3310334</v>
          </cell>
        </row>
        <row r="9">
          <cell r="B9">
            <v>1</v>
          </cell>
          <cell r="C9" t="str">
            <v>ADAMS</v>
          </cell>
          <cell r="D9" t="str">
            <v>CITY OR VILLAGE</v>
          </cell>
          <cell r="E9">
            <v>235</v>
          </cell>
          <cell r="F9" t="str">
            <v>ROSELAND</v>
          </cell>
          <cell r="G9">
            <v>520905</v>
          </cell>
          <cell r="H9">
            <v>48066</v>
          </cell>
          <cell r="I9">
            <v>267194</v>
          </cell>
          <cell r="J9">
            <v>10846268</v>
          </cell>
          <cell r="K9">
            <v>3397113</v>
          </cell>
          <cell r="L9">
            <v>159995</v>
          </cell>
          <cell r="M9">
            <v>0</v>
          </cell>
          <cell r="N9">
            <v>35358</v>
          </cell>
          <cell r="O9">
            <v>0</v>
          </cell>
          <cell r="P9">
            <v>0</v>
          </cell>
          <cell r="Q9">
            <v>0</v>
          </cell>
          <cell r="R9">
            <v>15274899</v>
          </cell>
        </row>
        <row r="10">
          <cell r="B10">
            <v>1</v>
          </cell>
          <cell r="C10" t="str">
            <v>ADAMS</v>
          </cell>
          <cell r="D10" t="str">
            <v>CITY OR VILLAGE</v>
          </cell>
          <cell r="E10">
            <v>205</v>
          </cell>
          <cell r="F10" t="str">
            <v>TRUMBULL</v>
          </cell>
          <cell r="G10">
            <v>0</v>
          </cell>
          <cell r="H10">
            <v>0</v>
          </cell>
          <cell r="I10">
            <v>0</v>
          </cell>
          <cell r="J10">
            <v>159942</v>
          </cell>
          <cell r="K10">
            <v>0</v>
          </cell>
          <cell r="L10">
            <v>0</v>
          </cell>
          <cell r="M10">
            <v>0</v>
          </cell>
          <cell r="N10">
            <v>44206</v>
          </cell>
          <cell r="O10">
            <v>0</v>
          </cell>
          <cell r="P10">
            <v>0</v>
          </cell>
          <cell r="Q10">
            <v>0</v>
          </cell>
          <cell r="R10">
            <v>204148</v>
          </cell>
        </row>
        <row r="11">
          <cell r="B11">
            <v>1</v>
          </cell>
          <cell r="C11" t="str">
            <v>ADAMS</v>
          </cell>
          <cell r="D11" t="str">
            <v>CITY OR VILLAGE</v>
          </cell>
        </row>
        <row r="12">
          <cell r="B12">
            <v>1</v>
          </cell>
          <cell r="C12" t="str">
            <v>ADAMS</v>
          </cell>
          <cell r="D12" t="str">
            <v>CITY OR VILLAGE</v>
          </cell>
        </row>
        <row r="13">
          <cell r="B13">
            <v>1</v>
          </cell>
          <cell r="C13" t="str">
            <v>ADAMS</v>
          </cell>
          <cell r="D13" t="str">
            <v>CITY OR VILLAGE</v>
          </cell>
        </row>
        <row r="14">
          <cell r="B14">
            <v>1</v>
          </cell>
          <cell r="C14" t="str">
            <v>ADAMS</v>
          </cell>
          <cell r="D14" t="str">
            <v>CITY OR VILLAGE</v>
          </cell>
        </row>
        <row r="15">
          <cell r="B15">
            <v>1</v>
          </cell>
          <cell r="C15" t="str">
            <v>ADAMS</v>
          </cell>
          <cell r="D15" t="str">
            <v>CITY OR VILLAGE</v>
          </cell>
        </row>
        <row r="16">
          <cell r="B16">
            <v>1</v>
          </cell>
          <cell r="C16" t="str">
            <v>ADAMS</v>
          </cell>
          <cell r="D16" t="str">
            <v>CITY OR VILLAGE</v>
          </cell>
        </row>
        <row r="17">
          <cell r="B17">
            <v>1</v>
          </cell>
          <cell r="C17" t="str">
            <v>ADAMS</v>
          </cell>
          <cell r="D17" t="str">
            <v>CITY OR VILLAGE</v>
          </cell>
        </row>
        <row r="18">
          <cell r="B18">
            <v>2</v>
          </cell>
          <cell r="C18" t="str">
            <v>ANTELOPE</v>
          </cell>
          <cell r="D18" t="str">
            <v>CITY OR VILLAGE</v>
          </cell>
          <cell r="E18">
            <v>138</v>
          </cell>
          <cell r="F18" t="str">
            <v>BRUNSWICK</v>
          </cell>
          <cell r="G18">
            <v>910731</v>
          </cell>
          <cell r="H18">
            <v>128243</v>
          </cell>
          <cell r="I18">
            <v>388452</v>
          </cell>
          <cell r="J18">
            <v>4143910</v>
          </cell>
          <cell r="K18">
            <v>8698685</v>
          </cell>
          <cell r="L18">
            <v>0</v>
          </cell>
          <cell r="M18">
            <v>0</v>
          </cell>
          <cell r="N18">
            <v>464110</v>
          </cell>
          <cell r="O18">
            <v>0</v>
          </cell>
          <cell r="P18">
            <v>2000</v>
          </cell>
          <cell r="Q18">
            <v>0</v>
          </cell>
          <cell r="R18">
            <v>14736131</v>
          </cell>
        </row>
        <row r="19">
          <cell r="B19">
            <v>2</v>
          </cell>
          <cell r="C19" t="str">
            <v>ANTELOPE</v>
          </cell>
          <cell r="D19" t="str">
            <v>CITY OR VILLAGE</v>
          </cell>
          <cell r="E19">
            <v>419</v>
          </cell>
          <cell r="F19" t="str">
            <v>CLEARWATER</v>
          </cell>
          <cell r="G19">
            <v>822399</v>
          </cell>
          <cell r="H19">
            <v>133042</v>
          </cell>
          <cell r="I19">
            <v>18741</v>
          </cell>
          <cell r="J19">
            <v>7916190</v>
          </cell>
          <cell r="K19">
            <v>3447950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12338322</v>
          </cell>
        </row>
        <row r="20">
          <cell r="B20">
            <v>2</v>
          </cell>
          <cell r="C20" t="str">
            <v>ANTELOPE</v>
          </cell>
          <cell r="D20" t="str">
            <v>CITY OR VILLAGE</v>
          </cell>
          <cell r="E20">
            <v>661</v>
          </cell>
          <cell r="F20" t="str">
            <v>ELGIN</v>
          </cell>
          <cell r="G20">
            <v>1404355</v>
          </cell>
          <cell r="H20">
            <v>848905</v>
          </cell>
          <cell r="I20">
            <v>153663</v>
          </cell>
          <cell r="J20">
            <v>26817250</v>
          </cell>
          <cell r="K20">
            <v>14392055</v>
          </cell>
          <cell r="L20">
            <v>0</v>
          </cell>
          <cell r="M20">
            <v>0</v>
          </cell>
          <cell r="N20">
            <v>22175</v>
          </cell>
          <cell r="O20">
            <v>0</v>
          </cell>
          <cell r="P20">
            <v>6020</v>
          </cell>
          <cell r="Q20">
            <v>0</v>
          </cell>
          <cell r="R20">
            <v>43644423</v>
          </cell>
        </row>
        <row r="21">
          <cell r="B21">
            <v>2</v>
          </cell>
          <cell r="C21" t="str">
            <v>ANTELOPE</v>
          </cell>
          <cell r="D21" t="str">
            <v>CITY OR VILLAGE</v>
          </cell>
          <cell r="E21">
            <v>1621</v>
          </cell>
          <cell r="F21" t="str">
            <v>NELIGH</v>
          </cell>
          <cell r="G21">
            <v>2876169</v>
          </cell>
          <cell r="H21">
            <v>338089</v>
          </cell>
          <cell r="I21">
            <v>58487</v>
          </cell>
          <cell r="J21">
            <v>48507112</v>
          </cell>
          <cell r="K21">
            <v>21659699</v>
          </cell>
          <cell r="L21">
            <v>508750</v>
          </cell>
          <cell r="M21">
            <v>0</v>
          </cell>
          <cell r="N21">
            <v>48345</v>
          </cell>
          <cell r="O21">
            <v>0</v>
          </cell>
          <cell r="P21">
            <v>0</v>
          </cell>
          <cell r="Q21">
            <v>0</v>
          </cell>
          <cell r="R21">
            <v>73996651</v>
          </cell>
        </row>
        <row r="22">
          <cell r="B22">
            <v>2</v>
          </cell>
          <cell r="C22" t="str">
            <v>ANTELOPE</v>
          </cell>
          <cell r="D22" t="str">
            <v>CITY OR VILLAGE</v>
          </cell>
          <cell r="E22">
            <v>322</v>
          </cell>
          <cell r="F22" t="str">
            <v>OAKDALE</v>
          </cell>
          <cell r="G22">
            <v>96955</v>
          </cell>
          <cell r="H22">
            <v>369698</v>
          </cell>
          <cell r="I22">
            <v>74482</v>
          </cell>
          <cell r="J22">
            <v>3597800</v>
          </cell>
          <cell r="K22">
            <v>354855</v>
          </cell>
          <cell r="L22">
            <v>0</v>
          </cell>
          <cell r="M22">
            <v>0</v>
          </cell>
          <cell r="N22">
            <v>104380</v>
          </cell>
          <cell r="O22">
            <v>0</v>
          </cell>
          <cell r="P22">
            <v>0</v>
          </cell>
          <cell r="Q22">
            <v>0</v>
          </cell>
          <cell r="R22">
            <v>4598170</v>
          </cell>
        </row>
        <row r="23">
          <cell r="B23">
            <v>2</v>
          </cell>
          <cell r="C23" t="str">
            <v>ANTELOPE</v>
          </cell>
          <cell r="D23" t="str">
            <v>CITY OR VILLAGE</v>
          </cell>
          <cell r="E23">
            <v>379</v>
          </cell>
          <cell r="F23" t="str">
            <v>ORCHARD</v>
          </cell>
          <cell r="G23">
            <v>1562121</v>
          </cell>
          <cell r="H23">
            <v>359376</v>
          </cell>
          <cell r="I23">
            <v>544116</v>
          </cell>
          <cell r="J23">
            <v>9584635</v>
          </cell>
          <cell r="K23">
            <v>5348560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17398808</v>
          </cell>
        </row>
        <row r="24">
          <cell r="B24">
            <v>2</v>
          </cell>
          <cell r="C24" t="str">
            <v>ANTELOPE</v>
          </cell>
          <cell r="D24" t="str">
            <v>CITY OR VILLAGE</v>
          </cell>
          <cell r="E24">
            <v>63</v>
          </cell>
          <cell r="F24" t="str">
            <v>ROYAL</v>
          </cell>
          <cell r="G24">
            <v>104115</v>
          </cell>
          <cell r="H24">
            <v>30332</v>
          </cell>
          <cell r="I24">
            <v>154596</v>
          </cell>
          <cell r="J24">
            <v>802085</v>
          </cell>
          <cell r="K24">
            <v>314885</v>
          </cell>
          <cell r="L24">
            <v>0</v>
          </cell>
          <cell r="M24">
            <v>0</v>
          </cell>
          <cell r="N24">
            <v>15240</v>
          </cell>
          <cell r="O24">
            <v>48190</v>
          </cell>
          <cell r="P24">
            <v>6480</v>
          </cell>
          <cell r="Q24">
            <v>0</v>
          </cell>
          <cell r="R24">
            <v>1475923</v>
          </cell>
        </row>
        <row r="25">
          <cell r="B25">
            <v>2</v>
          </cell>
          <cell r="C25" t="str">
            <v>ANTELOPE</v>
          </cell>
          <cell r="D25" t="str">
            <v>CITY OR VILLAGE</v>
          </cell>
          <cell r="E25">
            <v>953</v>
          </cell>
          <cell r="F25" t="str">
            <v>TILDEN</v>
          </cell>
          <cell r="G25">
            <v>1245294</v>
          </cell>
          <cell r="H25">
            <v>91542</v>
          </cell>
          <cell r="I25">
            <v>10843</v>
          </cell>
          <cell r="J25">
            <v>9772685</v>
          </cell>
          <cell r="K25">
            <v>1684025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12804389</v>
          </cell>
        </row>
        <row r="26">
          <cell r="B26">
            <v>2</v>
          </cell>
          <cell r="C26" t="str">
            <v>ANTELOPE</v>
          </cell>
          <cell r="D26" t="str">
            <v>CITY OR VILLAGE</v>
          </cell>
        </row>
        <row r="27">
          <cell r="B27">
            <v>2</v>
          </cell>
          <cell r="C27" t="str">
            <v>ANTELOPE</v>
          </cell>
          <cell r="D27" t="str">
            <v>CITY OR VILLAGE</v>
          </cell>
        </row>
        <row r="28">
          <cell r="B28">
            <v>2</v>
          </cell>
          <cell r="C28" t="str">
            <v>ANTELOPE</v>
          </cell>
          <cell r="D28" t="str">
            <v>CITY OR VILLAGE</v>
          </cell>
        </row>
        <row r="29">
          <cell r="B29">
            <v>2</v>
          </cell>
          <cell r="C29" t="str">
            <v>ANTELOPE</v>
          </cell>
          <cell r="D29" t="str">
            <v>CITY OR VILLAGE</v>
          </cell>
        </row>
        <row r="30">
          <cell r="B30">
            <v>2</v>
          </cell>
          <cell r="C30" t="str">
            <v>ANTELOPE</v>
          </cell>
          <cell r="D30" t="str">
            <v>CITY OR VILLAGE</v>
          </cell>
        </row>
        <row r="31">
          <cell r="B31">
            <v>2</v>
          </cell>
          <cell r="C31" t="str">
            <v>ANTELOPE</v>
          </cell>
          <cell r="D31" t="str">
            <v>CITY OR VILLAGE</v>
          </cell>
        </row>
        <row r="32">
          <cell r="B32">
            <v>2</v>
          </cell>
          <cell r="C32" t="str">
            <v>ANTELOPE</v>
          </cell>
          <cell r="D32" t="str">
            <v>CITY OR VILLAGE</v>
          </cell>
        </row>
        <row r="33">
          <cell r="B33">
            <v>3</v>
          </cell>
          <cell r="C33" t="str">
            <v>ARTHUR</v>
          </cell>
          <cell r="D33" t="str">
            <v>CITY OR VILLAGE</v>
          </cell>
          <cell r="E33">
            <v>117</v>
          </cell>
          <cell r="F33" t="str">
            <v>ARTHUR</v>
          </cell>
          <cell r="G33">
            <v>299748</v>
          </cell>
          <cell r="H33">
            <v>70251</v>
          </cell>
          <cell r="I33">
            <v>1940</v>
          </cell>
          <cell r="J33">
            <v>3442225</v>
          </cell>
          <cell r="K33">
            <v>679290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4493454</v>
          </cell>
        </row>
        <row r="34">
          <cell r="B34">
            <v>3</v>
          </cell>
          <cell r="C34" t="str">
            <v>ARTHUR</v>
          </cell>
          <cell r="D34" t="str">
            <v>CITY OR VILLAGE</v>
          </cell>
        </row>
        <row r="35">
          <cell r="B35">
            <v>3</v>
          </cell>
          <cell r="C35" t="str">
            <v>ARTHUR</v>
          </cell>
          <cell r="D35" t="str">
            <v>CITY OR VILLAGE</v>
          </cell>
        </row>
        <row r="36">
          <cell r="B36">
            <v>3</v>
          </cell>
          <cell r="C36" t="str">
            <v>ARTHUR</v>
          </cell>
          <cell r="D36" t="str">
            <v>CITY OR VILLAGE</v>
          </cell>
        </row>
        <row r="37">
          <cell r="B37">
            <v>3</v>
          </cell>
          <cell r="C37" t="str">
            <v>ARTHUR</v>
          </cell>
          <cell r="D37" t="str">
            <v>CITY OR VILLAGE</v>
          </cell>
        </row>
        <row r="38">
          <cell r="B38">
            <v>3</v>
          </cell>
          <cell r="C38" t="str">
            <v>ARTHUR</v>
          </cell>
          <cell r="D38" t="str">
            <v>CITY OR VILLAGE</v>
          </cell>
        </row>
        <row r="39">
          <cell r="B39">
            <v>3</v>
          </cell>
          <cell r="C39" t="str">
            <v>ARTHUR</v>
          </cell>
          <cell r="D39" t="str">
            <v>CITY OR VILLAGE</v>
          </cell>
        </row>
        <row r="40">
          <cell r="B40">
            <v>3</v>
          </cell>
          <cell r="C40" t="str">
            <v>ARTHUR</v>
          </cell>
          <cell r="D40" t="str">
            <v>CITY OR VILLAGE</v>
          </cell>
        </row>
        <row r="41">
          <cell r="B41">
            <v>3</v>
          </cell>
          <cell r="C41" t="str">
            <v>ARTHUR</v>
          </cell>
          <cell r="D41" t="str">
            <v>CITY OR VILLAGE</v>
          </cell>
        </row>
        <row r="42">
          <cell r="B42">
            <v>3</v>
          </cell>
          <cell r="C42" t="str">
            <v>ARTHUR</v>
          </cell>
          <cell r="D42" t="str">
            <v>CITY OR VILLAGE</v>
          </cell>
        </row>
        <row r="43">
          <cell r="B43">
            <v>3</v>
          </cell>
          <cell r="C43" t="str">
            <v>ARTHUR</v>
          </cell>
          <cell r="D43" t="str">
            <v>CITY OR VILLAGE</v>
          </cell>
        </row>
        <row r="44">
          <cell r="B44">
            <v>3</v>
          </cell>
          <cell r="C44" t="str">
            <v>ARTHUR</v>
          </cell>
          <cell r="D44" t="str">
            <v>CITY OR VILLAGE</v>
          </cell>
        </row>
        <row r="45">
          <cell r="B45">
            <v>3</v>
          </cell>
          <cell r="C45" t="str">
            <v>ARTHUR</v>
          </cell>
          <cell r="D45" t="str">
            <v>CITY OR VILLAGE</v>
          </cell>
        </row>
        <row r="46">
          <cell r="B46">
            <v>3</v>
          </cell>
          <cell r="C46" t="str">
            <v>ARTHUR</v>
          </cell>
          <cell r="D46" t="str">
            <v>CITY OR VILLAGE</v>
          </cell>
        </row>
        <row r="47">
          <cell r="B47">
            <v>3</v>
          </cell>
          <cell r="C47" t="str">
            <v>ARTHUR</v>
          </cell>
          <cell r="D47" t="str">
            <v>CITY OR VILLAGE</v>
          </cell>
        </row>
        <row r="48">
          <cell r="B48">
            <v>4</v>
          </cell>
          <cell r="C48" t="str">
            <v>BANNER</v>
          </cell>
          <cell r="D48" t="str">
            <v>CITY OR VILLAGE</v>
          </cell>
          <cell r="E48" t="str">
            <v>Unicorp.</v>
          </cell>
          <cell r="F48" t="str">
            <v>Harrisburg County Seat</v>
          </cell>
        </row>
        <row r="49">
          <cell r="B49">
            <v>4</v>
          </cell>
          <cell r="C49" t="str">
            <v>BANNER</v>
          </cell>
          <cell r="D49" t="str">
            <v>CITY OR VILLAGE</v>
          </cell>
        </row>
        <row r="50">
          <cell r="B50">
            <v>4</v>
          </cell>
          <cell r="C50" t="str">
            <v>BANNER</v>
          </cell>
          <cell r="D50" t="str">
            <v>CITY OR VILLAGE</v>
          </cell>
        </row>
        <row r="51">
          <cell r="B51">
            <v>4</v>
          </cell>
          <cell r="C51" t="str">
            <v>BANNER</v>
          </cell>
          <cell r="D51" t="str">
            <v>CITY OR VILLAGE</v>
          </cell>
        </row>
        <row r="52">
          <cell r="B52">
            <v>4</v>
          </cell>
          <cell r="C52" t="str">
            <v>BANNER</v>
          </cell>
          <cell r="D52" t="str">
            <v>CITY OR VILLAGE</v>
          </cell>
        </row>
        <row r="53">
          <cell r="B53">
            <v>4</v>
          </cell>
          <cell r="C53" t="str">
            <v>BANNER</v>
          </cell>
          <cell r="D53" t="str">
            <v>CITY OR VILLAGE</v>
          </cell>
        </row>
        <row r="54">
          <cell r="B54">
            <v>4</v>
          </cell>
          <cell r="C54" t="str">
            <v>BANNER</v>
          </cell>
          <cell r="D54" t="str">
            <v>CITY OR VILLAGE</v>
          </cell>
        </row>
        <row r="55">
          <cell r="B55">
            <v>4</v>
          </cell>
          <cell r="C55" t="str">
            <v>BANNER</v>
          </cell>
          <cell r="D55" t="str">
            <v>CITY OR VILLAGE</v>
          </cell>
        </row>
        <row r="56">
          <cell r="B56">
            <v>4</v>
          </cell>
          <cell r="C56" t="str">
            <v>BANNER</v>
          </cell>
          <cell r="D56" t="str">
            <v>CITY OR VILLAGE</v>
          </cell>
        </row>
        <row r="57">
          <cell r="B57">
            <v>4</v>
          </cell>
          <cell r="C57" t="str">
            <v>BANNER</v>
          </cell>
          <cell r="D57" t="str">
            <v>CITY OR VILLAGE</v>
          </cell>
        </row>
        <row r="58">
          <cell r="B58">
            <v>4</v>
          </cell>
          <cell r="C58" t="str">
            <v>BANNER</v>
          </cell>
          <cell r="D58" t="str">
            <v>CITY OR VILLAGE</v>
          </cell>
        </row>
        <row r="59">
          <cell r="B59">
            <v>4</v>
          </cell>
          <cell r="C59" t="str">
            <v>BANNER</v>
          </cell>
          <cell r="D59" t="str">
            <v>CITY OR VILLAGE</v>
          </cell>
        </row>
        <row r="60">
          <cell r="B60">
            <v>4</v>
          </cell>
          <cell r="C60" t="str">
            <v>BANNER</v>
          </cell>
          <cell r="D60" t="str">
            <v>CITY OR VILLAGE</v>
          </cell>
        </row>
        <row r="61">
          <cell r="B61">
            <v>4</v>
          </cell>
          <cell r="C61" t="str">
            <v>BANNER</v>
          </cell>
          <cell r="D61" t="str">
            <v>CITY OR VILLAGE</v>
          </cell>
        </row>
        <row r="62">
          <cell r="B62">
            <v>4</v>
          </cell>
          <cell r="C62" t="str">
            <v>BANNER</v>
          </cell>
          <cell r="D62" t="str">
            <v>CITY OR VILLAGE</v>
          </cell>
        </row>
        <row r="63">
          <cell r="B63">
            <v>5</v>
          </cell>
          <cell r="C63" t="str">
            <v>BLAINE</v>
          </cell>
          <cell r="D63" t="str">
            <v>CITY OR VILLAGE</v>
          </cell>
          <cell r="E63">
            <v>17</v>
          </cell>
          <cell r="F63" t="str">
            <v>BREWSTER</v>
          </cell>
          <cell r="G63">
            <v>3763</v>
          </cell>
          <cell r="H63">
            <v>32271</v>
          </cell>
          <cell r="I63">
            <v>844</v>
          </cell>
          <cell r="J63">
            <v>676552</v>
          </cell>
          <cell r="K63">
            <v>153480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866910</v>
          </cell>
        </row>
        <row r="64">
          <cell r="B64">
            <v>5</v>
          </cell>
          <cell r="C64" t="str">
            <v>BLAINE</v>
          </cell>
          <cell r="D64" t="str">
            <v>CITY OR VILLAGE</v>
          </cell>
          <cell r="E64">
            <v>103</v>
          </cell>
          <cell r="F64" t="str">
            <v>DUNNING</v>
          </cell>
          <cell r="G64">
            <v>9390</v>
          </cell>
          <cell r="H64">
            <v>344666</v>
          </cell>
          <cell r="I64">
            <v>886556</v>
          </cell>
          <cell r="J64">
            <v>2444268</v>
          </cell>
          <cell r="K64">
            <v>135779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3820659</v>
          </cell>
        </row>
        <row r="65">
          <cell r="B65">
            <v>5</v>
          </cell>
          <cell r="C65" t="str">
            <v>BLAINE</v>
          </cell>
          <cell r="D65" t="str">
            <v>CITY OR VILLAGE</v>
          </cell>
          <cell r="E65">
            <v>76</v>
          </cell>
          <cell r="F65" t="str">
            <v>HALSEY</v>
          </cell>
          <cell r="G65">
            <v>2298</v>
          </cell>
          <cell r="H65">
            <v>1552</v>
          </cell>
          <cell r="I65">
            <v>39</v>
          </cell>
          <cell r="J65">
            <v>210477</v>
          </cell>
          <cell r="K65">
            <v>8870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223236</v>
          </cell>
        </row>
        <row r="66">
          <cell r="B66">
            <v>5</v>
          </cell>
          <cell r="C66" t="str">
            <v>BLAINE</v>
          </cell>
          <cell r="D66" t="str">
            <v>CITY OR VILLAGE</v>
          </cell>
        </row>
        <row r="67">
          <cell r="B67">
            <v>5</v>
          </cell>
          <cell r="C67" t="str">
            <v>BLAINE</v>
          </cell>
          <cell r="D67" t="str">
            <v>CITY OR VILLAGE</v>
          </cell>
        </row>
        <row r="68">
          <cell r="B68">
            <v>5</v>
          </cell>
          <cell r="C68" t="str">
            <v>BLAINE</v>
          </cell>
          <cell r="D68" t="str">
            <v>CITY OR VILLAGE</v>
          </cell>
        </row>
        <row r="69">
          <cell r="B69">
            <v>5</v>
          </cell>
          <cell r="C69" t="str">
            <v>BLAINE</v>
          </cell>
          <cell r="D69" t="str">
            <v>CITY OR VILLAGE</v>
          </cell>
        </row>
        <row r="70">
          <cell r="B70">
            <v>5</v>
          </cell>
          <cell r="C70" t="str">
            <v>BLAINE</v>
          </cell>
          <cell r="D70" t="str">
            <v>CITY OR VILLAGE</v>
          </cell>
        </row>
        <row r="71">
          <cell r="B71">
            <v>5</v>
          </cell>
          <cell r="C71" t="str">
            <v>BLAINE</v>
          </cell>
          <cell r="D71" t="str">
            <v>CITY OR VILLAGE</v>
          </cell>
        </row>
        <row r="72">
          <cell r="B72">
            <v>5</v>
          </cell>
          <cell r="C72" t="str">
            <v>BLAINE</v>
          </cell>
          <cell r="D72" t="str">
            <v>CITY OR VILLAGE</v>
          </cell>
        </row>
        <row r="73">
          <cell r="B73">
            <v>5</v>
          </cell>
          <cell r="C73" t="str">
            <v>BLAINE</v>
          </cell>
          <cell r="D73" t="str">
            <v>CITY OR VILLAGE</v>
          </cell>
        </row>
        <row r="74">
          <cell r="B74">
            <v>5</v>
          </cell>
          <cell r="C74" t="str">
            <v>BLAINE</v>
          </cell>
          <cell r="D74" t="str">
            <v>CITY OR VILLAGE</v>
          </cell>
        </row>
        <row r="75">
          <cell r="B75">
            <v>5</v>
          </cell>
          <cell r="C75" t="str">
            <v>BLAINE</v>
          </cell>
          <cell r="D75" t="str">
            <v>CITY OR VILLAGE</v>
          </cell>
        </row>
        <row r="76">
          <cell r="B76">
            <v>5</v>
          </cell>
          <cell r="C76" t="str">
            <v>BLAINE</v>
          </cell>
          <cell r="D76" t="str">
            <v>CITY OR VILLAGE</v>
          </cell>
        </row>
        <row r="77">
          <cell r="B77">
            <v>5</v>
          </cell>
          <cell r="C77" t="str">
            <v>BLAINE</v>
          </cell>
          <cell r="D77" t="str">
            <v>CITY OR VILLAGE</v>
          </cell>
        </row>
        <row r="78">
          <cell r="B78">
            <v>6</v>
          </cell>
          <cell r="C78" t="str">
            <v>BOONE</v>
          </cell>
          <cell r="D78" t="str">
            <v>CITY OR VILLAGE</v>
          </cell>
          <cell r="E78">
            <v>1658</v>
          </cell>
          <cell r="F78" t="str">
            <v>ALBION</v>
          </cell>
          <cell r="G78">
            <v>8091369</v>
          </cell>
          <cell r="H78">
            <v>1329671</v>
          </cell>
          <cell r="I78">
            <v>1158746</v>
          </cell>
          <cell r="J78">
            <v>83458500</v>
          </cell>
          <cell r="K78">
            <v>20978855</v>
          </cell>
          <cell r="L78">
            <v>40457630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155474771</v>
          </cell>
        </row>
        <row r="79">
          <cell r="B79">
            <v>6</v>
          </cell>
          <cell r="C79" t="str">
            <v>BOONE</v>
          </cell>
          <cell r="D79" t="str">
            <v>CITY OR VILLAGE</v>
          </cell>
          <cell r="E79">
            <v>382</v>
          </cell>
          <cell r="F79" t="str">
            <v>CEDAR RAPIDS</v>
          </cell>
          <cell r="G79">
            <v>973399</v>
          </cell>
          <cell r="H79">
            <v>572919</v>
          </cell>
          <cell r="I79">
            <v>698586</v>
          </cell>
          <cell r="J79">
            <v>11215470</v>
          </cell>
          <cell r="K79">
            <v>2097475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15557849</v>
          </cell>
        </row>
        <row r="80">
          <cell r="B80">
            <v>6</v>
          </cell>
          <cell r="C80" t="str">
            <v>BOONE</v>
          </cell>
          <cell r="D80" t="str">
            <v>CITY OR VILLAGE</v>
          </cell>
          <cell r="E80">
            <v>333</v>
          </cell>
          <cell r="F80" t="str">
            <v>PETERSBURG</v>
          </cell>
          <cell r="G80">
            <v>1688147</v>
          </cell>
          <cell r="H80">
            <v>758646</v>
          </cell>
          <cell r="I80">
            <v>154727</v>
          </cell>
          <cell r="J80">
            <v>15330415</v>
          </cell>
          <cell r="K80">
            <v>4094430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22026365</v>
          </cell>
        </row>
        <row r="81">
          <cell r="B81">
            <v>6</v>
          </cell>
          <cell r="C81" t="str">
            <v>BOONE</v>
          </cell>
          <cell r="D81" t="str">
            <v>CITY OR VILLAGE</v>
          </cell>
          <cell r="E81">
            <v>61</v>
          </cell>
          <cell r="F81" t="str">
            <v>PRIMROSE</v>
          </cell>
          <cell r="G81">
            <v>66549</v>
          </cell>
          <cell r="H81">
            <v>134808</v>
          </cell>
          <cell r="I81">
            <v>590377</v>
          </cell>
          <cell r="J81">
            <v>1612545</v>
          </cell>
          <cell r="K81">
            <v>777860</v>
          </cell>
          <cell r="L81">
            <v>0</v>
          </cell>
          <cell r="M81">
            <v>0</v>
          </cell>
          <cell r="N81">
            <v>777175</v>
          </cell>
          <cell r="O81">
            <v>0</v>
          </cell>
          <cell r="P81">
            <v>5860</v>
          </cell>
          <cell r="Q81">
            <v>0</v>
          </cell>
          <cell r="R81">
            <v>3965174</v>
          </cell>
        </row>
        <row r="82">
          <cell r="B82">
            <v>6</v>
          </cell>
          <cell r="C82" t="str">
            <v>BOONE</v>
          </cell>
          <cell r="D82" t="str">
            <v>CITY OR VILLAGE</v>
          </cell>
          <cell r="E82">
            <v>705</v>
          </cell>
          <cell r="F82" t="str">
            <v>ST EDWARD</v>
          </cell>
          <cell r="G82">
            <v>906644</v>
          </cell>
          <cell r="H82">
            <v>1023014</v>
          </cell>
          <cell r="I82">
            <v>1211340</v>
          </cell>
          <cell r="J82">
            <v>20320745</v>
          </cell>
          <cell r="K82">
            <v>3454130</v>
          </cell>
          <cell r="L82">
            <v>0</v>
          </cell>
          <cell r="M82">
            <v>0</v>
          </cell>
          <cell r="N82">
            <v>83675</v>
          </cell>
          <cell r="O82">
            <v>0</v>
          </cell>
          <cell r="P82">
            <v>52175</v>
          </cell>
          <cell r="Q82">
            <v>0</v>
          </cell>
          <cell r="R82">
            <v>27051723</v>
          </cell>
        </row>
        <row r="83">
          <cell r="B83">
            <v>6</v>
          </cell>
          <cell r="C83" t="str">
            <v>BOONE</v>
          </cell>
          <cell r="D83" t="str">
            <v>CITY OR VILLAGE</v>
          </cell>
        </row>
        <row r="84">
          <cell r="B84">
            <v>6</v>
          </cell>
          <cell r="C84" t="str">
            <v>BOONE</v>
          </cell>
          <cell r="D84" t="str">
            <v>CITY OR VILLAGE</v>
          </cell>
        </row>
        <row r="85">
          <cell r="B85">
            <v>6</v>
          </cell>
          <cell r="C85" t="str">
            <v>BOONE</v>
          </cell>
          <cell r="D85" t="str">
            <v>CITY OR VILLAGE</v>
          </cell>
        </row>
        <row r="86">
          <cell r="B86">
            <v>6</v>
          </cell>
          <cell r="C86" t="str">
            <v>BOONE</v>
          </cell>
          <cell r="D86" t="str">
            <v>CITY OR VILLAGE</v>
          </cell>
        </row>
        <row r="87">
          <cell r="B87">
            <v>6</v>
          </cell>
          <cell r="C87" t="str">
            <v>BOONE</v>
          </cell>
          <cell r="D87" t="str">
            <v>CITY OR VILLAGE</v>
          </cell>
        </row>
        <row r="88">
          <cell r="B88">
            <v>6</v>
          </cell>
          <cell r="C88" t="str">
            <v>BOONE</v>
          </cell>
          <cell r="D88" t="str">
            <v>CITY OR VILLAGE</v>
          </cell>
        </row>
        <row r="89">
          <cell r="B89">
            <v>6</v>
          </cell>
          <cell r="C89" t="str">
            <v>BOONE</v>
          </cell>
          <cell r="D89" t="str">
            <v>CITY OR VILLAGE</v>
          </cell>
        </row>
        <row r="90">
          <cell r="B90">
            <v>6</v>
          </cell>
          <cell r="C90" t="str">
            <v>BOONE</v>
          </cell>
          <cell r="D90" t="str">
            <v>CITY OR VILLAGE</v>
          </cell>
        </row>
        <row r="91">
          <cell r="B91">
            <v>6</v>
          </cell>
          <cell r="C91" t="str">
            <v>BOONE</v>
          </cell>
          <cell r="D91" t="str">
            <v>CITY OR VILLAGE</v>
          </cell>
        </row>
        <row r="92">
          <cell r="B92">
            <v>6</v>
          </cell>
          <cell r="C92" t="str">
            <v>BOONE</v>
          </cell>
          <cell r="D92" t="str">
            <v>CITY OR VILLAGE</v>
          </cell>
        </row>
        <row r="93">
          <cell r="B93">
            <v>7</v>
          </cell>
          <cell r="C93" t="str">
            <v>BOX BUTTE</v>
          </cell>
          <cell r="D93" t="str">
            <v>CITY OR VILLAGE</v>
          </cell>
          <cell r="E93">
            <v>8491</v>
          </cell>
          <cell r="F93" t="str">
            <v>ALLIANCE</v>
          </cell>
          <cell r="G93">
            <v>6046698</v>
          </cell>
          <cell r="H93">
            <v>22389175</v>
          </cell>
          <cell r="I93">
            <v>99119673</v>
          </cell>
          <cell r="J93">
            <v>308456678</v>
          </cell>
          <cell r="K93">
            <v>91121887</v>
          </cell>
          <cell r="L93">
            <v>0</v>
          </cell>
          <cell r="M93">
            <v>55210</v>
          </cell>
          <cell r="N93">
            <v>9246</v>
          </cell>
          <cell r="O93">
            <v>0</v>
          </cell>
          <cell r="P93">
            <v>0</v>
          </cell>
          <cell r="Q93">
            <v>0</v>
          </cell>
          <cell r="R93">
            <v>527198567</v>
          </cell>
        </row>
        <row r="94">
          <cell r="B94">
            <v>7</v>
          </cell>
          <cell r="C94" t="str">
            <v>BOX BUTTE</v>
          </cell>
          <cell r="D94" t="str">
            <v>CITY OR VILLAGE</v>
          </cell>
          <cell r="E94">
            <v>803</v>
          </cell>
          <cell r="F94" t="str">
            <v>HEMINGFORD</v>
          </cell>
          <cell r="G94">
            <v>1308253</v>
          </cell>
          <cell r="H94">
            <v>741785</v>
          </cell>
          <cell r="I94">
            <v>2058775</v>
          </cell>
          <cell r="J94">
            <v>26011956</v>
          </cell>
          <cell r="K94">
            <v>20917879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51038648</v>
          </cell>
        </row>
        <row r="95">
          <cell r="B95">
            <v>7</v>
          </cell>
          <cell r="C95" t="str">
            <v>BOX BUTTE</v>
          </cell>
          <cell r="D95" t="str">
            <v>CITY OR VILLAGE</v>
          </cell>
        </row>
        <row r="96">
          <cell r="B96">
            <v>7</v>
          </cell>
          <cell r="C96" t="str">
            <v>BOX BUTTE</v>
          </cell>
          <cell r="D96" t="str">
            <v>CITY OR VILLAGE</v>
          </cell>
        </row>
        <row r="97">
          <cell r="B97">
            <v>7</v>
          </cell>
          <cell r="C97" t="str">
            <v>BOX BUTTE</v>
          </cell>
          <cell r="D97" t="str">
            <v>CITY OR VILLAGE</v>
          </cell>
        </row>
        <row r="98">
          <cell r="B98">
            <v>7</v>
          </cell>
          <cell r="C98" t="str">
            <v>BOX BUTTE</v>
          </cell>
          <cell r="D98" t="str">
            <v>CITY OR VILLAGE</v>
          </cell>
        </row>
        <row r="99">
          <cell r="B99">
            <v>7</v>
          </cell>
          <cell r="C99" t="str">
            <v>BOX BUTTE</v>
          </cell>
          <cell r="D99" t="str">
            <v>CITY OR VILLAGE</v>
          </cell>
        </row>
        <row r="100">
          <cell r="B100">
            <v>7</v>
          </cell>
          <cell r="C100" t="str">
            <v>BOX BUTTE</v>
          </cell>
          <cell r="D100" t="str">
            <v>CITY OR VILLAGE</v>
          </cell>
        </row>
        <row r="101">
          <cell r="B101">
            <v>7</v>
          </cell>
          <cell r="C101" t="str">
            <v>BOX BUTTE</v>
          </cell>
          <cell r="D101" t="str">
            <v>CITY OR VILLAGE</v>
          </cell>
        </row>
        <row r="102">
          <cell r="B102">
            <v>7</v>
          </cell>
          <cell r="C102" t="str">
            <v>BOX BUTTE</v>
          </cell>
          <cell r="D102" t="str">
            <v>CITY OR VILLAGE</v>
          </cell>
        </row>
        <row r="103">
          <cell r="B103">
            <v>7</v>
          </cell>
          <cell r="C103" t="str">
            <v>BOX BUTTE</v>
          </cell>
          <cell r="D103" t="str">
            <v>CITY OR VILLAGE</v>
          </cell>
        </row>
        <row r="104">
          <cell r="B104">
            <v>7</v>
          </cell>
          <cell r="C104" t="str">
            <v>BOX BUTTE</v>
          </cell>
          <cell r="D104" t="str">
            <v>CITY OR VILLAGE</v>
          </cell>
        </row>
        <row r="105">
          <cell r="B105">
            <v>7</v>
          </cell>
          <cell r="C105" t="str">
            <v>BOX BUTTE</v>
          </cell>
          <cell r="D105" t="str">
            <v>CITY OR VILLAGE</v>
          </cell>
        </row>
        <row r="106">
          <cell r="B106">
            <v>7</v>
          </cell>
          <cell r="C106" t="str">
            <v>BOX BUTTE</v>
          </cell>
          <cell r="D106" t="str">
            <v>CITY OR VILLAGE</v>
          </cell>
        </row>
        <row r="107">
          <cell r="B107">
            <v>7</v>
          </cell>
          <cell r="C107" t="str">
            <v>BOX BUTTE</v>
          </cell>
          <cell r="D107" t="str">
            <v>CITY OR VILLAGE</v>
          </cell>
        </row>
        <row r="108">
          <cell r="B108">
            <v>8</v>
          </cell>
          <cell r="C108" t="str">
            <v>BOYD</v>
          </cell>
          <cell r="D108" t="str">
            <v>CITY OR VILLAGE</v>
          </cell>
          <cell r="E108">
            <v>6</v>
          </cell>
          <cell r="F108" t="str">
            <v>ANOKA</v>
          </cell>
          <cell r="G108">
            <v>53423</v>
          </cell>
          <cell r="H108">
            <v>362</v>
          </cell>
          <cell r="I108">
            <v>156</v>
          </cell>
          <cell r="J108">
            <v>142785</v>
          </cell>
          <cell r="K108">
            <v>0</v>
          </cell>
          <cell r="L108">
            <v>0</v>
          </cell>
          <cell r="M108">
            <v>0</v>
          </cell>
          <cell r="N108">
            <v>262360</v>
          </cell>
          <cell r="O108">
            <v>17630</v>
          </cell>
          <cell r="P108">
            <v>3420</v>
          </cell>
          <cell r="Q108">
            <v>0</v>
          </cell>
          <cell r="R108">
            <v>480136</v>
          </cell>
        </row>
        <row r="109">
          <cell r="B109">
            <v>8</v>
          </cell>
          <cell r="C109" t="str">
            <v>BOYD</v>
          </cell>
          <cell r="D109" t="str">
            <v>CITY OR VILLAGE</v>
          </cell>
          <cell r="E109">
            <v>65</v>
          </cell>
          <cell r="F109" t="str">
            <v>BRISTOW</v>
          </cell>
          <cell r="G109">
            <v>17853</v>
          </cell>
          <cell r="H109">
            <v>20224</v>
          </cell>
          <cell r="I109">
            <v>8736</v>
          </cell>
          <cell r="J109">
            <v>1019105</v>
          </cell>
          <cell r="K109">
            <v>100965</v>
          </cell>
          <cell r="L109">
            <v>0</v>
          </cell>
          <cell r="M109">
            <v>0</v>
          </cell>
          <cell r="N109">
            <v>3235</v>
          </cell>
          <cell r="O109">
            <v>0</v>
          </cell>
          <cell r="P109">
            <v>18740</v>
          </cell>
          <cell r="Q109">
            <v>0</v>
          </cell>
          <cell r="R109">
            <v>1188858</v>
          </cell>
        </row>
        <row r="110">
          <cell r="B110">
            <v>8</v>
          </cell>
          <cell r="C110" t="str">
            <v>BOYD</v>
          </cell>
          <cell r="D110" t="str">
            <v>CITY OR VILLAGE</v>
          </cell>
          <cell r="E110">
            <v>326</v>
          </cell>
          <cell r="F110" t="str">
            <v>BUTTE</v>
          </cell>
          <cell r="G110">
            <v>442655</v>
          </cell>
          <cell r="H110">
            <v>40307</v>
          </cell>
          <cell r="I110">
            <v>0</v>
          </cell>
          <cell r="J110">
            <v>5700905</v>
          </cell>
          <cell r="K110">
            <v>2052575</v>
          </cell>
          <cell r="L110">
            <v>0</v>
          </cell>
          <cell r="M110">
            <v>0</v>
          </cell>
          <cell r="N110">
            <v>241720</v>
          </cell>
          <cell r="O110">
            <v>0</v>
          </cell>
          <cell r="P110">
            <v>9840</v>
          </cell>
          <cell r="Q110">
            <v>0</v>
          </cell>
          <cell r="R110">
            <v>8488002</v>
          </cell>
        </row>
        <row r="111">
          <cell r="B111">
            <v>8</v>
          </cell>
          <cell r="C111" t="str">
            <v>BOYD</v>
          </cell>
          <cell r="D111" t="str">
            <v>CITY OR VILLAGE</v>
          </cell>
          <cell r="E111">
            <v>2</v>
          </cell>
          <cell r="F111" t="str">
            <v>GROSS</v>
          </cell>
          <cell r="G111">
            <v>5050</v>
          </cell>
          <cell r="H111">
            <v>0</v>
          </cell>
          <cell r="I111">
            <v>0</v>
          </cell>
          <cell r="J111">
            <v>72705</v>
          </cell>
          <cell r="K111">
            <v>14270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92025</v>
          </cell>
        </row>
        <row r="112">
          <cell r="B112">
            <v>8</v>
          </cell>
          <cell r="C112" t="str">
            <v>BOYD</v>
          </cell>
          <cell r="D112" t="str">
            <v>CITY OR VILLAGE</v>
          </cell>
          <cell r="E112">
            <v>245</v>
          </cell>
          <cell r="F112" t="str">
            <v>LYNCH</v>
          </cell>
          <cell r="G112">
            <v>116992</v>
          </cell>
          <cell r="H112">
            <v>520</v>
          </cell>
          <cell r="I112">
            <v>225</v>
          </cell>
          <cell r="J112">
            <v>4020535</v>
          </cell>
          <cell r="K112">
            <v>740260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4878532</v>
          </cell>
        </row>
        <row r="113">
          <cell r="B113">
            <v>8</v>
          </cell>
          <cell r="C113" t="str">
            <v>BOYD</v>
          </cell>
          <cell r="D113" t="str">
            <v>CITY OR VILLAGE</v>
          </cell>
          <cell r="E113">
            <v>1</v>
          </cell>
          <cell r="F113" t="str">
            <v>MONOWI</v>
          </cell>
          <cell r="G113">
            <v>4241</v>
          </cell>
          <cell r="H113">
            <v>0</v>
          </cell>
          <cell r="I113">
            <v>0</v>
          </cell>
          <cell r="J113">
            <v>9120</v>
          </cell>
          <cell r="K113">
            <v>3225</v>
          </cell>
          <cell r="L113">
            <v>0</v>
          </cell>
          <cell r="M113">
            <v>0</v>
          </cell>
          <cell r="N113">
            <v>14180</v>
          </cell>
          <cell r="O113">
            <v>0</v>
          </cell>
          <cell r="P113">
            <v>2080</v>
          </cell>
          <cell r="Q113">
            <v>0</v>
          </cell>
          <cell r="R113">
            <v>32846</v>
          </cell>
        </row>
        <row r="114">
          <cell r="B114">
            <v>8</v>
          </cell>
          <cell r="C114" t="str">
            <v>BOYD</v>
          </cell>
          <cell r="D114" t="str">
            <v>CITY OR VILLAGE</v>
          </cell>
          <cell r="E114">
            <v>84</v>
          </cell>
          <cell r="F114" t="str">
            <v>NAPER</v>
          </cell>
          <cell r="G114">
            <v>76745</v>
          </cell>
          <cell r="H114">
            <v>0</v>
          </cell>
          <cell r="I114">
            <v>0</v>
          </cell>
          <cell r="J114">
            <v>1295370</v>
          </cell>
          <cell r="K114">
            <v>145100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1517215</v>
          </cell>
        </row>
        <row r="115">
          <cell r="B115">
            <v>8</v>
          </cell>
          <cell r="C115" t="str">
            <v>BOYD</v>
          </cell>
          <cell r="D115" t="str">
            <v>CITY OR VILLAGE</v>
          </cell>
          <cell r="E115">
            <v>455</v>
          </cell>
          <cell r="F115" t="str">
            <v>SPENCER</v>
          </cell>
          <cell r="G115">
            <v>1554045</v>
          </cell>
          <cell r="H115">
            <v>96164</v>
          </cell>
          <cell r="I115">
            <v>103473</v>
          </cell>
          <cell r="J115">
            <v>10043865</v>
          </cell>
          <cell r="K115">
            <v>3710100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15507647</v>
          </cell>
        </row>
        <row r="116">
          <cell r="B116">
            <v>8</v>
          </cell>
          <cell r="C116" t="str">
            <v>BOYD</v>
          </cell>
          <cell r="D116" t="str">
            <v>CITY OR VILLAGE</v>
          </cell>
        </row>
        <row r="117">
          <cell r="B117">
            <v>8</v>
          </cell>
          <cell r="C117" t="str">
            <v>BOYD</v>
          </cell>
          <cell r="D117" t="str">
            <v>CITY OR VILLAGE</v>
          </cell>
        </row>
        <row r="118">
          <cell r="B118">
            <v>8</v>
          </cell>
          <cell r="C118" t="str">
            <v>BOYD</v>
          </cell>
          <cell r="D118" t="str">
            <v>CITY OR VILLAGE</v>
          </cell>
        </row>
        <row r="119">
          <cell r="B119">
            <v>8</v>
          </cell>
          <cell r="C119" t="str">
            <v>BOYD</v>
          </cell>
          <cell r="D119" t="str">
            <v>CITY OR VILLAGE</v>
          </cell>
        </row>
        <row r="120">
          <cell r="B120">
            <v>8</v>
          </cell>
          <cell r="C120" t="str">
            <v>BOYD</v>
          </cell>
          <cell r="D120" t="str">
            <v>CITY OR VILLAGE</v>
          </cell>
        </row>
        <row r="121">
          <cell r="B121">
            <v>8</v>
          </cell>
          <cell r="C121" t="str">
            <v>BOYD</v>
          </cell>
          <cell r="D121" t="str">
            <v>CITY OR VILLAGE</v>
          </cell>
        </row>
        <row r="122">
          <cell r="B122">
            <v>8</v>
          </cell>
          <cell r="C122" t="str">
            <v>BOYD</v>
          </cell>
          <cell r="D122" t="str">
            <v>CITY OR VILLAGE</v>
          </cell>
        </row>
        <row r="123">
          <cell r="B123">
            <v>9</v>
          </cell>
          <cell r="C123" t="str">
            <v>BROWN</v>
          </cell>
          <cell r="D123" t="str">
            <v>CITY OR VILLAGE</v>
          </cell>
          <cell r="E123">
            <v>1728</v>
          </cell>
          <cell r="F123" t="str">
            <v>AINSWORTH</v>
          </cell>
          <cell r="G123">
            <v>13356762</v>
          </cell>
          <cell r="H123">
            <v>1181046</v>
          </cell>
          <cell r="I123">
            <v>509389</v>
          </cell>
          <cell r="J123">
            <v>51498398</v>
          </cell>
          <cell r="K123">
            <v>24359646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90905241</v>
          </cell>
        </row>
        <row r="124">
          <cell r="B124">
            <v>9</v>
          </cell>
          <cell r="C124" t="str">
            <v>BROWN</v>
          </cell>
          <cell r="D124" t="str">
            <v>CITY OR VILLAGE</v>
          </cell>
          <cell r="E124">
            <v>64</v>
          </cell>
          <cell r="F124" t="str">
            <v>JOHNSTOWN</v>
          </cell>
          <cell r="G124">
            <v>207274</v>
          </cell>
          <cell r="H124">
            <v>0</v>
          </cell>
          <cell r="I124">
            <v>0</v>
          </cell>
          <cell r="J124">
            <v>1657069</v>
          </cell>
          <cell r="K124">
            <v>125403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1989746</v>
          </cell>
        </row>
        <row r="125">
          <cell r="B125">
            <v>9</v>
          </cell>
          <cell r="C125" t="str">
            <v>BROWN</v>
          </cell>
          <cell r="D125" t="str">
            <v>CITY OR VILLAGE</v>
          </cell>
          <cell r="E125">
            <v>305</v>
          </cell>
          <cell r="F125" t="str">
            <v>LONG PINE</v>
          </cell>
          <cell r="G125">
            <v>1111214</v>
          </cell>
          <cell r="H125">
            <v>92988</v>
          </cell>
          <cell r="I125">
            <v>11393</v>
          </cell>
          <cell r="J125">
            <v>11032937</v>
          </cell>
          <cell r="K125">
            <v>1776646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14025178</v>
          </cell>
        </row>
        <row r="126">
          <cell r="B126">
            <v>9</v>
          </cell>
          <cell r="C126" t="str">
            <v>BROWN</v>
          </cell>
          <cell r="D126" t="str">
            <v>CITY OR VILLAGE</v>
          </cell>
        </row>
        <row r="127">
          <cell r="B127">
            <v>9</v>
          </cell>
          <cell r="C127" t="str">
            <v>BROWN</v>
          </cell>
          <cell r="D127" t="str">
            <v>CITY OR VILLAGE</v>
          </cell>
        </row>
        <row r="128">
          <cell r="B128">
            <v>9</v>
          </cell>
          <cell r="C128" t="str">
            <v>BROWN</v>
          </cell>
          <cell r="D128" t="str">
            <v>CITY OR VILLAGE</v>
          </cell>
        </row>
        <row r="129">
          <cell r="B129">
            <v>9</v>
          </cell>
          <cell r="C129" t="str">
            <v>BROWN</v>
          </cell>
          <cell r="D129" t="str">
            <v>CITY OR VILLAGE</v>
          </cell>
        </row>
        <row r="130">
          <cell r="B130">
            <v>9</v>
          </cell>
          <cell r="C130" t="str">
            <v>BROWN</v>
          </cell>
          <cell r="D130" t="str">
            <v>CITY OR VILLAGE</v>
          </cell>
        </row>
        <row r="131">
          <cell r="B131">
            <v>9</v>
          </cell>
          <cell r="C131" t="str">
            <v>BROWN</v>
          </cell>
          <cell r="D131" t="str">
            <v>CITY OR VILLAGE</v>
          </cell>
        </row>
        <row r="132">
          <cell r="B132">
            <v>9</v>
          </cell>
          <cell r="C132" t="str">
            <v>BROWN</v>
          </cell>
          <cell r="D132" t="str">
            <v>CITY OR VILLAGE</v>
          </cell>
        </row>
        <row r="133">
          <cell r="B133">
            <v>9</v>
          </cell>
          <cell r="C133" t="str">
            <v>BROWN</v>
          </cell>
          <cell r="D133" t="str">
            <v>CITY OR VILLAGE</v>
          </cell>
        </row>
        <row r="134">
          <cell r="B134">
            <v>9</v>
          </cell>
          <cell r="C134" t="str">
            <v>BROWN</v>
          </cell>
          <cell r="D134" t="str">
            <v>CITY OR VILLAGE</v>
          </cell>
        </row>
        <row r="135">
          <cell r="B135">
            <v>9</v>
          </cell>
          <cell r="C135" t="str">
            <v>BROWN</v>
          </cell>
          <cell r="D135" t="str">
            <v>CITY OR VILLAGE</v>
          </cell>
        </row>
        <row r="136">
          <cell r="B136">
            <v>9</v>
          </cell>
          <cell r="C136" t="str">
            <v>BROWN</v>
          </cell>
          <cell r="D136" t="str">
            <v>CITY OR VILLAGE</v>
          </cell>
        </row>
        <row r="137">
          <cell r="B137">
            <v>9</v>
          </cell>
          <cell r="C137" t="str">
            <v>BROWN</v>
          </cell>
          <cell r="D137" t="str">
            <v>CITY OR VILLAGE</v>
          </cell>
        </row>
        <row r="138">
          <cell r="B138">
            <v>10</v>
          </cell>
          <cell r="C138" t="str">
            <v>BUFFALO</v>
          </cell>
          <cell r="D138" t="str">
            <v>CITY OR VILLAGE</v>
          </cell>
          <cell r="E138">
            <v>248</v>
          </cell>
          <cell r="F138" t="str">
            <v>AMHERST</v>
          </cell>
          <cell r="G138">
            <v>169560</v>
          </cell>
          <cell r="H138">
            <v>112611</v>
          </cell>
          <cell r="I138">
            <v>12911</v>
          </cell>
          <cell r="J138">
            <v>12158000</v>
          </cell>
          <cell r="K138">
            <v>1572380</v>
          </cell>
          <cell r="L138">
            <v>0</v>
          </cell>
          <cell r="M138">
            <v>0</v>
          </cell>
          <cell r="N138">
            <v>18715</v>
          </cell>
          <cell r="O138">
            <v>0</v>
          </cell>
          <cell r="P138">
            <v>0</v>
          </cell>
          <cell r="Q138">
            <v>0</v>
          </cell>
          <cell r="R138">
            <v>14044177</v>
          </cell>
        </row>
        <row r="139">
          <cell r="B139">
            <v>10</v>
          </cell>
          <cell r="C139" t="str">
            <v>BUFFALO</v>
          </cell>
          <cell r="D139" t="str">
            <v>CITY OR VILLAGE</v>
          </cell>
          <cell r="E139">
            <v>901</v>
          </cell>
          <cell r="F139" t="str">
            <v>ELM CREEK</v>
          </cell>
          <cell r="G139">
            <v>1076869</v>
          </cell>
          <cell r="H139">
            <v>1588698</v>
          </cell>
          <cell r="I139">
            <v>4935402</v>
          </cell>
          <cell r="J139">
            <v>44465945</v>
          </cell>
          <cell r="K139">
            <v>8452635</v>
          </cell>
          <cell r="L139">
            <v>0</v>
          </cell>
          <cell r="M139">
            <v>0</v>
          </cell>
          <cell r="N139">
            <v>182005</v>
          </cell>
          <cell r="O139">
            <v>0</v>
          </cell>
          <cell r="P139">
            <v>0</v>
          </cell>
          <cell r="Q139">
            <v>0</v>
          </cell>
          <cell r="R139">
            <v>60701554</v>
          </cell>
        </row>
        <row r="140">
          <cell r="B140">
            <v>10</v>
          </cell>
          <cell r="C140" t="str">
            <v>BUFFALO</v>
          </cell>
          <cell r="D140" t="str">
            <v>CITY OR VILLAGE</v>
          </cell>
          <cell r="E140">
            <v>1833</v>
          </cell>
          <cell r="F140" t="str">
            <v>GIBBON</v>
          </cell>
          <cell r="G140">
            <v>5307916</v>
          </cell>
          <cell r="H140">
            <v>2324433</v>
          </cell>
          <cell r="I140">
            <v>4081831</v>
          </cell>
          <cell r="J140">
            <v>75077900</v>
          </cell>
          <cell r="K140">
            <v>16495990</v>
          </cell>
          <cell r="L140">
            <v>3552080</v>
          </cell>
          <cell r="M140">
            <v>0</v>
          </cell>
          <cell r="N140">
            <v>23620</v>
          </cell>
          <cell r="O140">
            <v>0</v>
          </cell>
          <cell r="P140">
            <v>0</v>
          </cell>
          <cell r="Q140">
            <v>0</v>
          </cell>
          <cell r="R140">
            <v>106863770</v>
          </cell>
        </row>
        <row r="141">
          <cell r="B141">
            <v>10</v>
          </cell>
          <cell r="C141" t="str">
            <v>BUFFALO</v>
          </cell>
          <cell r="D141" t="str">
            <v>CITY OR VILLAGE</v>
          </cell>
          <cell r="E141">
            <v>30921</v>
          </cell>
          <cell r="F141" t="str">
            <v>KEARNEY</v>
          </cell>
          <cell r="G141">
            <v>85246909</v>
          </cell>
          <cell r="H141">
            <v>23886987</v>
          </cell>
          <cell r="I141">
            <v>26470228</v>
          </cell>
          <cell r="J141">
            <v>1838547680</v>
          </cell>
          <cell r="K141">
            <v>919209625</v>
          </cell>
          <cell r="L141">
            <v>25096215</v>
          </cell>
          <cell r="M141">
            <v>32815</v>
          </cell>
          <cell r="N141">
            <v>147140</v>
          </cell>
          <cell r="O141">
            <v>16665</v>
          </cell>
          <cell r="P141">
            <v>534115</v>
          </cell>
          <cell r="Q141">
            <v>2375</v>
          </cell>
          <cell r="R141">
            <v>2919190754</v>
          </cell>
        </row>
        <row r="142">
          <cell r="B142">
            <v>10</v>
          </cell>
          <cell r="C142" t="str">
            <v>BUFFALO</v>
          </cell>
          <cell r="D142" t="str">
            <v>CITY OR VILLAGE</v>
          </cell>
          <cell r="E142">
            <v>136</v>
          </cell>
          <cell r="F142" t="str">
            <v>MILLER</v>
          </cell>
          <cell r="G142">
            <v>1723552</v>
          </cell>
          <cell r="H142">
            <v>49804</v>
          </cell>
          <cell r="I142">
            <v>5111</v>
          </cell>
          <cell r="J142">
            <v>4086725</v>
          </cell>
          <cell r="K142">
            <v>606720</v>
          </cell>
          <cell r="L142">
            <v>0</v>
          </cell>
          <cell r="M142">
            <v>0</v>
          </cell>
          <cell r="N142">
            <v>19540</v>
          </cell>
          <cell r="O142">
            <v>0</v>
          </cell>
          <cell r="P142">
            <v>0</v>
          </cell>
          <cell r="Q142">
            <v>0</v>
          </cell>
          <cell r="R142">
            <v>6491452</v>
          </cell>
        </row>
        <row r="143">
          <cell r="B143">
            <v>10</v>
          </cell>
          <cell r="C143" t="str">
            <v>BUFFALO</v>
          </cell>
          <cell r="D143" t="str">
            <v>CITY OR VILLAGE</v>
          </cell>
          <cell r="E143">
            <v>341</v>
          </cell>
          <cell r="F143" t="str">
            <v>PLEASANTON</v>
          </cell>
          <cell r="G143">
            <v>1992698</v>
          </cell>
          <cell r="H143">
            <v>272400</v>
          </cell>
          <cell r="I143">
            <v>128043</v>
          </cell>
          <cell r="J143">
            <v>19198740</v>
          </cell>
          <cell r="K143">
            <v>2309830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23901711</v>
          </cell>
        </row>
        <row r="144">
          <cell r="B144">
            <v>10</v>
          </cell>
          <cell r="C144" t="str">
            <v>BUFFALO</v>
          </cell>
          <cell r="D144" t="str">
            <v>CITY OR VILLAGE</v>
          </cell>
          <cell r="E144">
            <v>1371</v>
          </cell>
          <cell r="F144" t="str">
            <v>RAVENNA</v>
          </cell>
          <cell r="G144">
            <v>88389210</v>
          </cell>
          <cell r="H144">
            <v>1472486</v>
          </cell>
          <cell r="I144">
            <v>5008840</v>
          </cell>
          <cell r="J144">
            <v>49593160</v>
          </cell>
          <cell r="K144">
            <v>9720665</v>
          </cell>
          <cell r="L144">
            <v>36096175</v>
          </cell>
          <cell r="M144">
            <v>0</v>
          </cell>
          <cell r="N144">
            <v>523560</v>
          </cell>
          <cell r="O144">
            <v>59395</v>
          </cell>
          <cell r="P144">
            <v>13960</v>
          </cell>
          <cell r="Q144">
            <v>0</v>
          </cell>
          <cell r="R144">
            <v>190877451</v>
          </cell>
        </row>
        <row r="145">
          <cell r="B145">
            <v>10</v>
          </cell>
          <cell r="C145" t="str">
            <v>BUFFALO</v>
          </cell>
          <cell r="D145" t="str">
            <v>CITY OR VILLAGE</v>
          </cell>
          <cell r="E145">
            <v>182</v>
          </cell>
          <cell r="F145" t="str">
            <v>RIVERDALE</v>
          </cell>
          <cell r="G145">
            <v>302402</v>
          </cell>
          <cell r="H145">
            <v>137272</v>
          </cell>
          <cell r="I145">
            <v>15536</v>
          </cell>
          <cell r="J145">
            <v>11740710</v>
          </cell>
          <cell r="K145">
            <v>2478030</v>
          </cell>
          <cell r="L145">
            <v>0</v>
          </cell>
          <cell r="M145">
            <v>0</v>
          </cell>
          <cell r="N145">
            <v>415200</v>
          </cell>
          <cell r="O145">
            <v>111660</v>
          </cell>
          <cell r="P145">
            <v>117840</v>
          </cell>
          <cell r="Q145">
            <v>5</v>
          </cell>
          <cell r="R145">
            <v>15318655</v>
          </cell>
        </row>
        <row r="146">
          <cell r="B146">
            <v>10</v>
          </cell>
          <cell r="C146" t="str">
            <v>BUFFALO</v>
          </cell>
          <cell r="D146" t="str">
            <v>CITY OR VILLAGE</v>
          </cell>
          <cell r="E146">
            <v>1065</v>
          </cell>
          <cell r="F146" t="str">
            <v>SHELTON</v>
          </cell>
          <cell r="G146">
            <v>816754</v>
          </cell>
          <cell r="H146">
            <v>1815014</v>
          </cell>
          <cell r="I146">
            <v>3745010</v>
          </cell>
          <cell r="J146">
            <v>45098495</v>
          </cell>
          <cell r="K146">
            <v>5828630</v>
          </cell>
          <cell r="L146">
            <v>0</v>
          </cell>
          <cell r="M146">
            <v>0</v>
          </cell>
          <cell r="N146">
            <v>787455</v>
          </cell>
          <cell r="O146">
            <v>0</v>
          </cell>
          <cell r="P146">
            <v>1960</v>
          </cell>
          <cell r="Q146">
            <v>0</v>
          </cell>
          <cell r="R146">
            <v>58093318</v>
          </cell>
        </row>
        <row r="147">
          <cell r="B147">
            <v>10</v>
          </cell>
          <cell r="C147" t="str">
            <v>BUFFALO</v>
          </cell>
          <cell r="D147" t="str">
            <v>CITY OR VILLAGE</v>
          </cell>
        </row>
        <row r="148">
          <cell r="B148">
            <v>10</v>
          </cell>
          <cell r="C148" t="str">
            <v>BUFFALO</v>
          </cell>
          <cell r="D148" t="str">
            <v>CITY OR VILLAGE</v>
          </cell>
        </row>
        <row r="149">
          <cell r="B149">
            <v>10</v>
          </cell>
          <cell r="C149" t="str">
            <v>BUFFALO</v>
          </cell>
          <cell r="D149" t="str">
            <v>CITY OR VILLAGE</v>
          </cell>
        </row>
        <row r="150">
          <cell r="B150">
            <v>10</v>
          </cell>
          <cell r="C150" t="str">
            <v>BUFFALO</v>
          </cell>
          <cell r="D150" t="str">
            <v>CITY OR VILLAGE</v>
          </cell>
        </row>
        <row r="151">
          <cell r="B151">
            <v>10</v>
          </cell>
          <cell r="C151" t="str">
            <v>BUFFALO</v>
          </cell>
          <cell r="D151" t="str">
            <v>CITY OR VILLAGE</v>
          </cell>
        </row>
        <row r="152">
          <cell r="B152">
            <v>10</v>
          </cell>
          <cell r="C152" t="str">
            <v>BUFFALO</v>
          </cell>
          <cell r="D152" t="str">
            <v>CITY OR VILLAGE</v>
          </cell>
        </row>
        <row r="153">
          <cell r="B153">
            <v>11</v>
          </cell>
          <cell r="C153" t="str">
            <v>BURT</v>
          </cell>
          <cell r="D153" t="str">
            <v>CITY OR VILLAGE</v>
          </cell>
          <cell r="E153">
            <v>199</v>
          </cell>
          <cell r="F153" t="str">
            <v>CRAIG</v>
          </cell>
          <cell r="G153">
            <v>241648</v>
          </cell>
          <cell r="H153">
            <v>97611</v>
          </cell>
          <cell r="I153">
            <v>13268</v>
          </cell>
          <cell r="J153">
            <v>3824890</v>
          </cell>
          <cell r="K153">
            <v>147895</v>
          </cell>
          <cell r="L153">
            <v>0</v>
          </cell>
          <cell r="M153">
            <v>0</v>
          </cell>
          <cell r="N153">
            <v>30359</v>
          </cell>
          <cell r="O153">
            <v>0</v>
          </cell>
          <cell r="P153">
            <v>0</v>
          </cell>
          <cell r="Q153">
            <v>0</v>
          </cell>
          <cell r="R153">
            <v>4355671</v>
          </cell>
        </row>
        <row r="154">
          <cell r="B154">
            <v>11</v>
          </cell>
          <cell r="C154" t="str">
            <v>BURT</v>
          </cell>
          <cell r="D154" t="str">
            <v>CITY OR VILLAGE</v>
          </cell>
          <cell r="E154">
            <v>481</v>
          </cell>
          <cell r="F154" t="str">
            <v>DECATUR</v>
          </cell>
          <cell r="G154">
            <v>445105</v>
          </cell>
          <cell r="H154">
            <v>513904</v>
          </cell>
          <cell r="I154">
            <v>170999</v>
          </cell>
          <cell r="J154">
            <v>14187709</v>
          </cell>
          <cell r="K154">
            <v>2144965</v>
          </cell>
          <cell r="L154">
            <v>0</v>
          </cell>
          <cell r="M154">
            <v>379802</v>
          </cell>
          <cell r="N154">
            <v>611373</v>
          </cell>
          <cell r="O154">
            <v>0</v>
          </cell>
          <cell r="P154">
            <v>0</v>
          </cell>
          <cell r="Q154">
            <v>0</v>
          </cell>
          <cell r="R154">
            <v>18453857</v>
          </cell>
        </row>
        <row r="155">
          <cell r="B155">
            <v>11</v>
          </cell>
          <cell r="C155" t="str">
            <v>BURT</v>
          </cell>
          <cell r="D155" t="str">
            <v>CITY OR VILLAGE</v>
          </cell>
          <cell r="E155">
            <v>851</v>
          </cell>
          <cell r="F155" t="str">
            <v>LYONS</v>
          </cell>
          <cell r="G155">
            <v>1582636</v>
          </cell>
          <cell r="H155">
            <v>560109</v>
          </cell>
          <cell r="I155">
            <v>875440</v>
          </cell>
          <cell r="J155">
            <v>24117446</v>
          </cell>
          <cell r="K155">
            <v>3397271</v>
          </cell>
          <cell r="L155">
            <v>2455294</v>
          </cell>
          <cell r="M155">
            <v>0</v>
          </cell>
          <cell r="N155">
            <v>22278</v>
          </cell>
          <cell r="O155">
            <v>0</v>
          </cell>
          <cell r="P155">
            <v>1000</v>
          </cell>
          <cell r="Q155">
            <v>0</v>
          </cell>
          <cell r="R155">
            <v>33011474</v>
          </cell>
        </row>
        <row r="156">
          <cell r="B156">
            <v>11</v>
          </cell>
          <cell r="C156" t="str">
            <v>BURT</v>
          </cell>
          <cell r="D156" t="str">
            <v>CITY OR VILLAGE</v>
          </cell>
          <cell r="E156">
            <v>1244</v>
          </cell>
          <cell r="F156" t="str">
            <v>OAKLAND</v>
          </cell>
          <cell r="G156">
            <v>2670116</v>
          </cell>
          <cell r="H156">
            <v>696692</v>
          </cell>
          <cell r="I156">
            <v>890905</v>
          </cell>
          <cell r="J156">
            <v>42323247</v>
          </cell>
          <cell r="K156">
            <v>9254700</v>
          </cell>
          <cell r="L156">
            <v>174935</v>
          </cell>
          <cell r="M156">
            <v>0</v>
          </cell>
          <cell r="N156">
            <v>123227</v>
          </cell>
          <cell r="O156">
            <v>0</v>
          </cell>
          <cell r="P156">
            <v>0</v>
          </cell>
          <cell r="Q156">
            <v>0</v>
          </cell>
          <cell r="R156">
            <v>56133822</v>
          </cell>
        </row>
        <row r="157">
          <cell r="B157">
            <v>11</v>
          </cell>
          <cell r="C157" t="str">
            <v>BURT</v>
          </cell>
          <cell r="D157" t="str">
            <v>CITY OR VILLAGE</v>
          </cell>
          <cell r="E157">
            <v>1823</v>
          </cell>
          <cell r="F157" t="str">
            <v>TEKAMAH</v>
          </cell>
          <cell r="G157">
            <v>3101243</v>
          </cell>
          <cell r="H157">
            <v>985122</v>
          </cell>
          <cell r="I157">
            <v>231866</v>
          </cell>
          <cell r="J157">
            <v>65943046</v>
          </cell>
          <cell r="K157">
            <v>12477798</v>
          </cell>
          <cell r="L157">
            <v>257760</v>
          </cell>
          <cell r="M157">
            <v>0</v>
          </cell>
          <cell r="N157">
            <v>268890</v>
          </cell>
          <cell r="O157">
            <v>0</v>
          </cell>
          <cell r="P157">
            <v>0</v>
          </cell>
          <cell r="Q157">
            <v>0</v>
          </cell>
          <cell r="R157">
            <v>83265725</v>
          </cell>
        </row>
        <row r="158">
          <cell r="B158">
            <v>11</v>
          </cell>
          <cell r="C158" t="str">
            <v>BURT</v>
          </cell>
          <cell r="D158" t="str">
            <v>CITY OR VILLAGE</v>
          </cell>
        </row>
        <row r="159">
          <cell r="B159">
            <v>11</v>
          </cell>
          <cell r="C159" t="str">
            <v>BURT</v>
          </cell>
          <cell r="D159" t="str">
            <v>CITY OR VILLAGE</v>
          </cell>
        </row>
        <row r="160">
          <cell r="B160">
            <v>11</v>
          </cell>
          <cell r="C160" t="str">
            <v>BURT</v>
          </cell>
          <cell r="D160" t="str">
            <v>CITY OR VILLAGE</v>
          </cell>
        </row>
        <row r="161">
          <cell r="B161">
            <v>11</v>
          </cell>
          <cell r="C161" t="str">
            <v>BURT</v>
          </cell>
          <cell r="D161" t="str">
            <v>CITY OR VILLAGE</v>
          </cell>
        </row>
        <row r="162">
          <cell r="B162">
            <v>11</v>
          </cell>
          <cell r="C162" t="str">
            <v>BURT</v>
          </cell>
          <cell r="D162" t="str">
            <v>CITY OR VILLAGE</v>
          </cell>
        </row>
        <row r="163">
          <cell r="B163">
            <v>11</v>
          </cell>
          <cell r="C163" t="str">
            <v>BURT</v>
          </cell>
          <cell r="D163" t="str">
            <v>CITY OR VILLAGE</v>
          </cell>
        </row>
        <row r="164">
          <cell r="B164">
            <v>11</v>
          </cell>
          <cell r="C164" t="str">
            <v>BURT</v>
          </cell>
          <cell r="D164" t="str">
            <v>CITY OR VILLAGE</v>
          </cell>
        </row>
        <row r="165">
          <cell r="B165">
            <v>11</v>
          </cell>
          <cell r="C165" t="str">
            <v>BURT</v>
          </cell>
          <cell r="D165" t="str">
            <v>CITY OR VILLAGE</v>
          </cell>
        </row>
        <row r="166">
          <cell r="B166">
            <v>11</v>
          </cell>
          <cell r="C166" t="str">
            <v>BURT</v>
          </cell>
          <cell r="D166" t="str">
            <v>CITY OR VILLAGE</v>
          </cell>
        </row>
        <row r="167">
          <cell r="B167">
            <v>11</v>
          </cell>
          <cell r="C167" t="str">
            <v>BURT</v>
          </cell>
          <cell r="D167" t="str">
            <v>CITY OR VILLAGE</v>
          </cell>
        </row>
        <row r="168">
          <cell r="B168">
            <v>12</v>
          </cell>
          <cell r="C168" t="str">
            <v>BUTLER</v>
          </cell>
          <cell r="D168" t="str">
            <v>CITY OR VILLAGE</v>
          </cell>
          <cell r="E168">
            <v>69</v>
          </cell>
          <cell r="F168" t="str">
            <v>ABIE</v>
          </cell>
          <cell r="G168">
            <v>654134</v>
          </cell>
          <cell r="H168">
            <v>3273</v>
          </cell>
          <cell r="I168">
            <v>155</v>
          </cell>
          <cell r="J168">
            <v>1514110</v>
          </cell>
          <cell r="K168">
            <v>99900</v>
          </cell>
          <cell r="L168">
            <v>0</v>
          </cell>
          <cell r="M168">
            <v>0</v>
          </cell>
          <cell r="N168">
            <v>7040</v>
          </cell>
          <cell r="O168">
            <v>0</v>
          </cell>
          <cell r="P168">
            <v>20340</v>
          </cell>
          <cell r="Q168">
            <v>0</v>
          </cell>
          <cell r="R168">
            <v>2298952</v>
          </cell>
        </row>
        <row r="169">
          <cell r="B169">
            <v>12</v>
          </cell>
          <cell r="C169" t="str">
            <v>BUTLER</v>
          </cell>
          <cell r="D169" t="str">
            <v>CITY OR VILLAGE</v>
          </cell>
          <cell r="E169">
            <v>435</v>
          </cell>
          <cell r="F169" t="str">
            <v>BELLWOOD</v>
          </cell>
          <cell r="G169">
            <v>657446</v>
          </cell>
          <cell r="H169">
            <v>121165</v>
          </cell>
          <cell r="I169">
            <v>303854</v>
          </cell>
          <cell r="J169">
            <v>13276760</v>
          </cell>
          <cell r="K169">
            <v>2840720</v>
          </cell>
          <cell r="L169">
            <v>0</v>
          </cell>
          <cell r="M169">
            <v>0</v>
          </cell>
          <cell r="N169">
            <v>6265</v>
          </cell>
          <cell r="O169">
            <v>0</v>
          </cell>
          <cell r="P169">
            <v>0</v>
          </cell>
          <cell r="Q169">
            <v>0</v>
          </cell>
          <cell r="R169">
            <v>17206210</v>
          </cell>
        </row>
        <row r="170">
          <cell r="B170">
            <v>12</v>
          </cell>
          <cell r="C170" t="str">
            <v>BUTLER</v>
          </cell>
          <cell r="D170" t="str">
            <v>CITY OR VILLAGE</v>
          </cell>
          <cell r="E170">
            <v>332</v>
          </cell>
          <cell r="F170" t="str">
            <v>BRAINARD</v>
          </cell>
          <cell r="G170">
            <v>1225882</v>
          </cell>
          <cell r="H170">
            <v>240873</v>
          </cell>
          <cell r="I170">
            <v>968826</v>
          </cell>
          <cell r="J170">
            <v>15696115</v>
          </cell>
          <cell r="K170">
            <v>5762400</v>
          </cell>
          <cell r="L170">
            <v>0</v>
          </cell>
          <cell r="M170">
            <v>0</v>
          </cell>
          <cell r="N170">
            <v>8870</v>
          </cell>
          <cell r="O170">
            <v>0</v>
          </cell>
          <cell r="P170">
            <v>0</v>
          </cell>
          <cell r="Q170">
            <v>0</v>
          </cell>
          <cell r="R170">
            <v>23902966</v>
          </cell>
        </row>
        <row r="171">
          <cell r="B171">
            <v>12</v>
          </cell>
          <cell r="C171" t="str">
            <v>BUTLER</v>
          </cell>
          <cell r="D171" t="str">
            <v>CITY OR VILLAGE</v>
          </cell>
          <cell r="E171">
            <v>99</v>
          </cell>
          <cell r="F171" t="str">
            <v>BRUNO</v>
          </cell>
          <cell r="G171">
            <v>142298</v>
          </cell>
          <cell r="H171">
            <v>50511</v>
          </cell>
          <cell r="I171">
            <v>2387</v>
          </cell>
          <cell r="J171">
            <v>1970220</v>
          </cell>
          <cell r="K171">
            <v>351965</v>
          </cell>
          <cell r="L171">
            <v>0</v>
          </cell>
          <cell r="M171">
            <v>0</v>
          </cell>
          <cell r="N171">
            <v>140955</v>
          </cell>
          <cell r="O171">
            <v>0</v>
          </cell>
          <cell r="P171">
            <v>21090</v>
          </cell>
          <cell r="Q171">
            <v>0</v>
          </cell>
          <cell r="R171">
            <v>2679426</v>
          </cell>
        </row>
        <row r="172">
          <cell r="B172">
            <v>12</v>
          </cell>
          <cell r="C172" t="str">
            <v>BUTLER</v>
          </cell>
          <cell r="D172" t="str">
            <v>CITY OR VILLAGE</v>
          </cell>
          <cell r="E172">
            <v>2922</v>
          </cell>
          <cell r="F172" t="str">
            <v>DAVID CITY</v>
          </cell>
          <cell r="G172">
            <v>13055141</v>
          </cell>
          <cell r="H172">
            <v>1602067</v>
          </cell>
          <cell r="I172">
            <v>1245301</v>
          </cell>
          <cell r="J172">
            <v>114443570</v>
          </cell>
          <cell r="K172">
            <v>19039810</v>
          </cell>
          <cell r="L172">
            <v>10977145</v>
          </cell>
          <cell r="M172">
            <v>0</v>
          </cell>
          <cell r="N172">
            <v>714695</v>
          </cell>
          <cell r="O172">
            <v>0</v>
          </cell>
          <cell r="P172">
            <v>11880</v>
          </cell>
          <cell r="Q172">
            <v>0</v>
          </cell>
          <cell r="R172">
            <v>161089609</v>
          </cell>
        </row>
        <row r="173">
          <cell r="B173">
            <v>12</v>
          </cell>
          <cell r="C173" t="str">
            <v>BUTLER</v>
          </cell>
          <cell r="D173" t="str">
            <v>CITY OR VILLAGE</v>
          </cell>
          <cell r="E173">
            <v>204</v>
          </cell>
          <cell r="F173" t="str">
            <v>DWIGHT</v>
          </cell>
          <cell r="G173">
            <v>405850</v>
          </cell>
          <cell r="H173">
            <v>39833</v>
          </cell>
          <cell r="I173">
            <v>1882</v>
          </cell>
          <cell r="J173">
            <v>8508605</v>
          </cell>
          <cell r="K173">
            <v>1467310</v>
          </cell>
          <cell r="L173">
            <v>0</v>
          </cell>
          <cell r="M173">
            <v>0</v>
          </cell>
          <cell r="N173">
            <v>62150</v>
          </cell>
          <cell r="O173">
            <v>0</v>
          </cell>
          <cell r="P173">
            <v>0</v>
          </cell>
          <cell r="Q173">
            <v>0</v>
          </cell>
          <cell r="R173">
            <v>10485630</v>
          </cell>
        </row>
        <row r="174">
          <cell r="B174">
            <v>12</v>
          </cell>
          <cell r="C174" t="str">
            <v>BUTLER</v>
          </cell>
          <cell r="D174" t="str">
            <v>CITY OR VILLAGE</v>
          </cell>
          <cell r="E174">
            <v>54</v>
          </cell>
          <cell r="F174" t="str">
            <v>GARRISON</v>
          </cell>
          <cell r="G174">
            <v>211194</v>
          </cell>
          <cell r="H174">
            <v>91417</v>
          </cell>
          <cell r="I174">
            <v>279216</v>
          </cell>
          <cell r="J174">
            <v>1011375</v>
          </cell>
          <cell r="K174">
            <v>3299420</v>
          </cell>
          <cell r="L174">
            <v>0</v>
          </cell>
          <cell r="M174">
            <v>0</v>
          </cell>
          <cell r="N174">
            <v>28995</v>
          </cell>
          <cell r="O174">
            <v>0</v>
          </cell>
          <cell r="P174">
            <v>0</v>
          </cell>
          <cell r="Q174">
            <v>0</v>
          </cell>
          <cell r="R174">
            <v>4921617</v>
          </cell>
        </row>
        <row r="175">
          <cell r="B175">
            <v>12</v>
          </cell>
          <cell r="C175" t="str">
            <v>BUTLER</v>
          </cell>
          <cell r="D175" t="str">
            <v>CITY OR VILLAGE</v>
          </cell>
          <cell r="E175">
            <v>88</v>
          </cell>
          <cell r="F175" t="str">
            <v>LINWOOD</v>
          </cell>
          <cell r="G175">
            <v>136850</v>
          </cell>
          <cell r="H175">
            <v>0</v>
          </cell>
          <cell r="I175">
            <v>0</v>
          </cell>
          <cell r="J175">
            <v>1456115</v>
          </cell>
          <cell r="K175">
            <v>214965</v>
          </cell>
          <cell r="L175">
            <v>0</v>
          </cell>
          <cell r="M175">
            <v>0</v>
          </cell>
          <cell r="N175">
            <v>632605</v>
          </cell>
          <cell r="O175">
            <v>20000</v>
          </cell>
          <cell r="P175">
            <v>42295</v>
          </cell>
          <cell r="Q175">
            <v>0</v>
          </cell>
          <cell r="R175">
            <v>2502830</v>
          </cell>
        </row>
        <row r="176">
          <cell r="B176">
            <v>12</v>
          </cell>
          <cell r="C176" t="str">
            <v>BUTLER</v>
          </cell>
          <cell r="D176" t="str">
            <v>CITY OR VILLAGE</v>
          </cell>
          <cell r="E176">
            <v>127</v>
          </cell>
          <cell r="F176" t="str">
            <v>OCTAVIA</v>
          </cell>
          <cell r="G176">
            <v>3049</v>
          </cell>
          <cell r="H176">
            <v>43714</v>
          </cell>
          <cell r="I176">
            <v>2066</v>
          </cell>
          <cell r="J176">
            <v>2627455</v>
          </cell>
          <cell r="K176">
            <v>0</v>
          </cell>
          <cell r="L176">
            <v>0</v>
          </cell>
          <cell r="M176">
            <v>0</v>
          </cell>
          <cell r="N176">
            <v>120680</v>
          </cell>
          <cell r="O176">
            <v>0</v>
          </cell>
          <cell r="P176">
            <v>0</v>
          </cell>
          <cell r="Q176">
            <v>0</v>
          </cell>
          <cell r="R176">
            <v>2796964</v>
          </cell>
        </row>
        <row r="177">
          <cell r="B177">
            <v>12</v>
          </cell>
          <cell r="C177" t="str">
            <v>BUTLER</v>
          </cell>
          <cell r="D177" t="str">
            <v>CITY OR VILLAGE</v>
          </cell>
          <cell r="E177">
            <v>374</v>
          </cell>
          <cell r="F177" t="str">
            <v>RISING CITY</v>
          </cell>
          <cell r="G177">
            <v>729604</v>
          </cell>
          <cell r="H177">
            <v>364650</v>
          </cell>
          <cell r="I177">
            <v>489318</v>
          </cell>
          <cell r="J177">
            <v>11661900</v>
          </cell>
          <cell r="K177">
            <v>5229040</v>
          </cell>
          <cell r="L177">
            <v>0</v>
          </cell>
          <cell r="M177">
            <v>0</v>
          </cell>
          <cell r="N177">
            <v>146545</v>
          </cell>
          <cell r="O177">
            <v>0</v>
          </cell>
          <cell r="P177">
            <v>5640</v>
          </cell>
          <cell r="Q177">
            <v>0</v>
          </cell>
          <cell r="R177">
            <v>18626697</v>
          </cell>
        </row>
        <row r="178">
          <cell r="B178">
            <v>12</v>
          </cell>
          <cell r="C178" t="str">
            <v>BUTLER</v>
          </cell>
          <cell r="D178" t="str">
            <v>CITY OR VILLAGE</v>
          </cell>
          <cell r="E178">
            <v>43</v>
          </cell>
          <cell r="F178" t="str">
            <v>SURPRISE</v>
          </cell>
          <cell r="G178">
            <v>24205</v>
          </cell>
          <cell r="H178">
            <v>43312</v>
          </cell>
          <cell r="I178">
            <v>2047</v>
          </cell>
          <cell r="J178">
            <v>788655</v>
          </cell>
          <cell r="K178">
            <v>170915</v>
          </cell>
          <cell r="L178">
            <v>0</v>
          </cell>
          <cell r="M178">
            <v>0</v>
          </cell>
          <cell r="N178">
            <v>661225</v>
          </cell>
          <cell r="O178">
            <v>77885</v>
          </cell>
          <cell r="P178">
            <v>18550</v>
          </cell>
          <cell r="Q178">
            <v>0</v>
          </cell>
          <cell r="R178">
            <v>1786794</v>
          </cell>
        </row>
        <row r="179">
          <cell r="B179">
            <v>12</v>
          </cell>
          <cell r="C179" t="str">
            <v>BUTLER</v>
          </cell>
          <cell r="D179" t="str">
            <v>CITY OR VILLAGE</v>
          </cell>
          <cell r="E179">
            <v>171</v>
          </cell>
          <cell r="F179" t="str">
            <v>ULYSSES</v>
          </cell>
          <cell r="G179">
            <v>461147</v>
          </cell>
          <cell r="H179">
            <v>255569</v>
          </cell>
          <cell r="I179">
            <v>292811</v>
          </cell>
          <cell r="J179">
            <v>2986825</v>
          </cell>
          <cell r="K179">
            <v>1726985</v>
          </cell>
          <cell r="L179">
            <v>0</v>
          </cell>
          <cell r="M179">
            <v>0</v>
          </cell>
          <cell r="N179">
            <v>7135</v>
          </cell>
          <cell r="O179">
            <v>0</v>
          </cell>
          <cell r="P179">
            <v>0</v>
          </cell>
          <cell r="Q179">
            <v>0</v>
          </cell>
          <cell r="R179">
            <v>5730472</v>
          </cell>
        </row>
        <row r="180">
          <cell r="B180">
            <v>12</v>
          </cell>
          <cell r="C180" t="str">
            <v>BUTLER</v>
          </cell>
          <cell r="D180" t="str">
            <v>CITY OR VILLAGE</v>
          </cell>
        </row>
        <row r="181">
          <cell r="B181">
            <v>12</v>
          </cell>
          <cell r="C181" t="str">
            <v>BUTLER</v>
          </cell>
          <cell r="D181" t="str">
            <v>CITY OR VILLAGE</v>
          </cell>
        </row>
        <row r="182">
          <cell r="B182">
            <v>12</v>
          </cell>
          <cell r="C182" t="str">
            <v>BUTLER</v>
          </cell>
          <cell r="D182" t="str">
            <v>CITY OR VILLAGE</v>
          </cell>
        </row>
        <row r="183">
          <cell r="B183">
            <v>13</v>
          </cell>
          <cell r="C183" t="str">
            <v>CASS</v>
          </cell>
          <cell r="D183" t="str">
            <v>CITY OR VILLAGE</v>
          </cell>
          <cell r="E183">
            <v>132</v>
          </cell>
          <cell r="F183" t="str">
            <v>ALVO</v>
          </cell>
          <cell r="G183">
            <v>6155</v>
          </cell>
          <cell r="H183">
            <v>12013</v>
          </cell>
          <cell r="I183">
            <v>1300</v>
          </cell>
          <cell r="J183">
            <v>5576100</v>
          </cell>
          <cell r="K183">
            <v>779029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6374597</v>
          </cell>
        </row>
        <row r="184">
          <cell r="B184">
            <v>13</v>
          </cell>
          <cell r="C184" t="str">
            <v>CASS</v>
          </cell>
          <cell r="D184" t="str">
            <v>CITY OR VILLAGE</v>
          </cell>
          <cell r="E184">
            <v>242</v>
          </cell>
          <cell r="F184" t="str">
            <v>AVOCA</v>
          </cell>
          <cell r="G184">
            <v>145349</v>
          </cell>
          <cell r="H184">
            <v>147792</v>
          </cell>
          <cell r="I184">
            <v>12694</v>
          </cell>
          <cell r="J184">
            <v>6315392</v>
          </cell>
          <cell r="K184">
            <v>563707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7184934</v>
          </cell>
        </row>
        <row r="185">
          <cell r="B185">
            <v>13</v>
          </cell>
          <cell r="C185" t="str">
            <v>CASS</v>
          </cell>
          <cell r="D185" t="str">
            <v>CITY OR VILLAGE</v>
          </cell>
          <cell r="E185">
            <v>390</v>
          </cell>
          <cell r="F185" t="str">
            <v>CEDAR CREEK</v>
          </cell>
          <cell r="G185">
            <v>387300</v>
          </cell>
          <cell r="H185">
            <v>212457</v>
          </cell>
          <cell r="I185">
            <v>570010</v>
          </cell>
          <cell r="J185">
            <v>73331133</v>
          </cell>
          <cell r="K185">
            <v>1308421</v>
          </cell>
          <cell r="L185">
            <v>0</v>
          </cell>
          <cell r="M185">
            <v>108370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75917691</v>
          </cell>
        </row>
        <row r="186">
          <cell r="B186">
            <v>13</v>
          </cell>
          <cell r="C186" t="str">
            <v>CASS</v>
          </cell>
          <cell r="D186" t="str">
            <v>CITY OR VILLAGE</v>
          </cell>
          <cell r="E186">
            <v>1024</v>
          </cell>
          <cell r="F186" t="str">
            <v>EAGLE</v>
          </cell>
          <cell r="G186">
            <v>878425</v>
          </cell>
          <cell r="H186">
            <v>388279</v>
          </cell>
          <cell r="I186">
            <v>35450</v>
          </cell>
          <cell r="J186">
            <v>53551045</v>
          </cell>
          <cell r="K186">
            <v>7510177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62363376</v>
          </cell>
        </row>
        <row r="187">
          <cell r="B187">
            <v>13</v>
          </cell>
          <cell r="C187" t="str">
            <v>CASS</v>
          </cell>
          <cell r="D187" t="str">
            <v>CITY OR VILLAGE</v>
          </cell>
          <cell r="E187">
            <v>634</v>
          </cell>
          <cell r="F187" t="str">
            <v>ELMWOOD</v>
          </cell>
          <cell r="G187">
            <v>3737715</v>
          </cell>
          <cell r="H187">
            <v>326705</v>
          </cell>
          <cell r="I187">
            <v>32087</v>
          </cell>
          <cell r="J187">
            <v>30742759</v>
          </cell>
          <cell r="K187">
            <v>5145653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39984919</v>
          </cell>
        </row>
        <row r="188">
          <cell r="B188">
            <v>13</v>
          </cell>
          <cell r="C188" t="str">
            <v>CASS</v>
          </cell>
          <cell r="D188" t="str">
            <v>CITY OR VILLAGE</v>
          </cell>
          <cell r="E188">
            <v>568</v>
          </cell>
          <cell r="F188" t="str">
            <v>GREENWOOD</v>
          </cell>
          <cell r="G188">
            <v>638378</v>
          </cell>
          <cell r="H188">
            <v>493840</v>
          </cell>
          <cell r="I188">
            <v>920454</v>
          </cell>
          <cell r="J188">
            <v>20706344</v>
          </cell>
          <cell r="K188">
            <v>4260490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27019506</v>
          </cell>
        </row>
        <row r="189">
          <cell r="B189">
            <v>13</v>
          </cell>
          <cell r="C189" t="str">
            <v>CASS</v>
          </cell>
          <cell r="D189" t="str">
            <v>CITY OR VILLAGE</v>
          </cell>
          <cell r="E189">
            <v>1106</v>
          </cell>
          <cell r="F189" t="str">
            <v>LOUISVILLE</v>
          </cell>
          <cell r="G189">
            <v>1296878</v>
          </cell>
          <cell r="H189">
            <v>728907</v>
          </cell>
          <cell r="I189">
            <v>1404212</v>
          </cell>
          <cell r="J189">
            <v>61964313</v>
          </cell>
          <cell r="K189">
            <v>8037257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73431567</v>
          </cell>
        </row>
        <row r="190">
          <cell r="B190">
            <v>13</v>
          </cell>
          <cell r="C190" t="str">
            <v>CASS</v>
          </cell>
          <cell r="D190" t="str">
            <v>CITY OR VILLAGE</v>
          </cell>
          <cell r="E190">
            <v>178</v>
          </cell>
          <cell r="F190" t="str">
            <v>MANLEY</v>
          </cell>
          <cell r="G190">
            <v>48220</v>
          </cell>
          <cell r="H190">
            <v>80532</v>
          </cell>
          <cell r="I190">
            <v>148104</v>
          </cell>
          <cell r="J190">
            <v>9669219</v>
          </cell>
          <cell r="K190">
            <v>559669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10505744</v>
          </cell>
        </row>
        <row r="191">
          <cell r="B191">
            <v>13</v>
          </cell>
          <cell r="C191" t="str">
            <v>CASS</v>
          </cell>
          <cell r="D191" t="str">
            <v>CITY OR VILLAGE</v>
          </cell>
          <cell r="E191">
            <v>236</v>
          </cell>
          <cell r="F191" t="str">
            <v>MURDOCK</v>
          </cell>
          <cell r="G191">
            <v>95044</v>
          </cell>
          <cell r="H191">
            <v>138744</v>
          </cell>
          <cell r="I191">
            <v>13072</v>
          </cell>
          <cell r="J191">
            <v>14759551</v>
          </cell>
          <cell r="K191">
            <v>818649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15825060</v>
          </cell>
        </row>
        <row r="192">
          <cell r="B192">
            <v>13</v>
          </cell>
          <cell r="C192" t="str">
            <v>CASS</v>
          </cell>
          <cell r="D192" t="str">
            <v>CITY OR VILLAGE</v>
          </cell>
          <cell r="E192">
            <v>463</v>
          </cell>
          <cell r="F192" t="str">
            <v>MURRAY</v>
          </cell>
          <cell r="G192">
            <v>66627</v>
          </cell>
          <cell r="H192">
            <v>250067</v>
          </cell>
          <cell r="I192">
            <v>306664</v>
          </cell>
          <cell r="J192">
            <v>24089210</v>
          </cell>
          <cell r="K192">
            <v>2686324</v>
          </cell>
          <cell r="L192">
            <v>0</v>
          </cell>
          <cell r="M192">
            <v>0</v>
          </cell>
          <cell r="N192">
            <v>4990</v>
          </cell>
          <cell r="O192">
            <v>0</v>
          </cell>
          <cell r="P192">
            <v>0</v>
          </cell>
          <cell r="Q192">
            <v>0</v>
          </cell>
          <cell r="R192">
            <v>27403882</v>
          </cell>
        </row>
        <row r="193">
          <cell r="B193">
            <v>13</v>
          </cell>
          <cell r="C193" t="str">
            <v>CASS</v>
          </cell>
          <cell r="D193" t="str">
            <v>CITY OR VILLAGE</v>
          </cell>
          <cell r="E193">
            <v>204</v>
          </cell>
          <cell r="F193" t="str">
            <v>NEHAWKA</v>
          </cell>
          <cell r="G193">
            <v>28711</v>
          </cell>
          <cell r="H193">
            <v>136411</v>
          </cell>
          <cell r="I193">
            <v>419969</v>
          </cell>
          <cell r="J193">
            <v>7130173</v>
          </cell>
          <cell r="K193">
            <v>698236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8413500</v>
          </cell>
        </row>
        <row r="194">
          <cell r="B194">
            <v>13</v>
          </cell>
          <cell r="C194" t="str">
            <v>CASS</v>
          </cell>
          <cell r="D194" t="str">
            <v>CITY OR VILLAGE</v>
          </cell>
          <cell r="E194">
            <v>6505</v>
          </cell>
          <cell r="F194" t="str">
            <v>PLATTSMOUTH</v>
          </cell>
          <cell r="G194">
            <v>6059022</v>
          </cell>
          <cell r="H194">
            <v>3432795</v>
          </cell>
          <cell r="I194">
            <v>3374799</v>
          </cell>
          <cell r="J194">
            <v>226930411</v>
          </cell>
          <cell r="K194">
            <v>68640315</v>
          </cell>
          <cell r="L194">
            <v>5017262</v>
          </cell>
          <cell r="M194">
            <v>103566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313558170</v>
          </cell>
        </row>
        <row r="195">
          <cell r="B195">
            <v>13</v>
          </cell>
          <cell r="C195" t="str">
            <v>CASS</v>
          </cell>
          <cell r="D195" t="str">
            <v>CITY OR VILLAGE</v>
          </cell>
          <cell r="E195">
            <v>99</v>
          </cell>
          <cell r="F195" t="str">
            <v>SOUTH BEND</v>
          </cell>
          <cell r="G195">
            <v>7524</v>
          </cell>
          <cell r="H195">
            <v>261729</v>
          </cell>
          <cell r="I195">
            <v>1126582</v>
          </cell>
          <cell r="J195">
            <v>3219653</v>
          </cell>
          <cell r="K195">
            <v>687718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5303206</v>
          </cell>
        </row>
        <row r="196">
          <cell r="B196">
            <v>13</v>
          </cell>
          <cell r="C196" t="str">
            <v>CASS</v>
          </cell>
          <cell r="D196" t="str">
            <v>CITY OR VILLAGE</v>
          </cell>
          <cell r="E196">
            <v>233</v>
          </cell>
          <cell r="F196" t="str">
            <v>UNION</v>
          </cell>
          <cell r="G196">
            <v>236918</v>
          </cell>
          <cell r="H196">
            <v>247646</v>
          </cell>
          <cell r="I196">
            <v>470657</v>
          </cell>
          <cell r="J196">
            <v>7419273</v>
          </cell>
          <cell r="K196">
            <v>787660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9162154</v>
          </cell>
        </row>
        <row r="197">
          <cell r="B197">
            <v>13</v>
          </cell>
          <cell r="C197" t="str">
            <v>CASS</v>
          </cell>
          <cell r="D197" t="str">
            <v>CITY OR VILLAGE</v>
          </cell>
          <cell r="E197">
            <v>1050</v>
          </cell>
          <cell r="F197" t="str">
            <v>WEEPING WATER</v>
          </cell>
          <cell r="G197">
            <v>7972594</v>
          </cell>
          <cell r="H197">
            <v>678438</v>
          </cell>
          <cell r="I197">
            <v>429861</v>
          </cell>
          <cell r="J197">
            <v>55017913</v>
          </cell>
          <cell r="K197">
            <v>4652455</v>
          </cell>
          <cell r="L197">
            <v>1165197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69916458</v>
          </cell>
        </row>
        <row r="198">
          <cell r="B198">
            <v>14</v>
          </cell>
          <cell r="C198" t="str">
            <v>CEDAR</v>
          </cell>
          <cell r="D198" t="str">
            <v>CITY OR VILLAGE</v>
          </cell>
          <cell r="E198">
            <v>115</v>
          </cell>
          <cell r="F198" t="str">
            <v>BELDEN</v>
          </cell>
          <cell r="G198">
            <v>90368</v>
          </cell>
          <cell r="H198">
            <v>153614</v>
          </cell>
          <cell r="I198">
            <v>281106</v>
          </cell>
          <cell r="J198">
            <v>2989220</v>
          </cell>
          <cell r="K198">
            <v>515260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4029568</v>
          </cell>
        </row>
        <row r="199">
          <cell r="B199">
            <v>14</v>
          </cell>
          <cell r="C199" t="str">
            <v>CEDAR</v>
          </cell>
          <cell r="D199" t="str">
            <v>CITY OR VILLAGE</v>
          </cell>
          <cell r="E199">
            <v>473</v>
          </cell>
          <cell r="F199" t="str">
            <v>COLERIDGE</v>
          </cell>
          <cell r="G199">
            <v>343828</v>
          </cell>
          <cell r="H199">
            <v>172035</v>
          </cell>
          <cell r="I199">
            <v>20832</v>
          </cell>
          <cell r="J199">
            <v>11848000</v>
          </cell>
          <cell r="K199">
            <v>1631415</v>
          </cell>
          <cell r="L199">
            <v>0</v>
          </cell>
          <cell r="M199">
            <v>0</v>
          </cell>
          <cell r="N199">
            <v>184485</v>
          </cell>
          <cell r="O199">
            <v>0</v>
          </cell>
          <cell r="P199">
            <v>0</v>
          </cell>
          <cell r="Q199">
            <v>0</v>
          </cell>
          <cell r="R199">
            <v>14200595</v>
          </cell>
        </row>
        <row r="200">
          <cell r="B200">
            <v>14</v>
          </cell>
          <cell r="C200" t="str">
            <v>CEDAR</v>
          </cell>
          <cell r="D200" t="str">
            <v>CITY OR VILLAGE</v>
          </cell>
          <cell r="E200">
            <v>139</v>
          </cell>
          <cell r="F200" t="str">
            <v>FORDYCE</v>
          </cell>
          <cell r="G200">
            <v>85504</v>
          </cell>
          <cell r="H200">
            <v>11265</v>
          </cell>
          <cell r="I200">
            <v>2495</v>
          </cell>
          <cell r="J200">
            <v>4186560</v>
          </cell>
          <cell r="K200">
            <v>2242375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6528199</v>
          </cell>
        </row>
        <row r="201">
          <cell r="B201">
            <v>14</v>
          </cell>
          <cell r="C201" t="str">
            <v>CEDAR</v>
          </cell>
          <cell r="D201" t="str">
            <v>CITY OR VILLAGE</v>
          </cell>
          <cell r="E201">
            <v>1554</v>
          </cell>
          <cell r="F201" t="str">
            <v>HARTINGTON</v>
          </cell>
          <cell r="G201">
            <v>3040626</v>
          </cell>
          <cell r="H201">
            <v>2629237</v>
          </cell>
          <cell r="I201">
            <v>594286</v>
          </cell>
          <cell r="J201">
            <v>70430160</v>
          </cell>
          <cell r="K201">
            <v>14502360</v>
          </cell>
          <cell r="L201">
            <v>0</v>
          </cell>
          <cell r="M201">
            <v>0</v>
          </cell>
          <cell r="N201">
            <v>45055</v>
          </cell>
          <cell r="O201">
            <v>0</v>
          </cell>
          <cell r="P201">
            <v>0</v>
          </cell>
          <cell r="Q201">
            <v>0</v>
          </cell>
          <cell r="R201">
            <v>91241724</v>
          </cell>
        </row>
        <row r="202">
          <cell r="B202">
            <v>14</v>
          </cell>
          <cell r="C202" t="str">
            <v>CEDAR</v>
          </cell>
          <cell r="D202" t="str">
            <v>CITY OR VILLAGE</v>
          </cell>
          <cell r="E202">
            <v>964</v>
          </cell>
          <cell r="F202" t="str">
            <v>LAUREL</v>
          </cell>
          <cell r="G202">
            <v>1211652</v>
          </cell>
          <cell r="H202">
            <v>551896</v>
          </cell>
          <cell r="I202">
            <v>668146</v>
          </cell>
          <cell r="J202">
            <v>32752015</v>
          </cell>
          <cell r="K202">
            <v>8971955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44155664</v>
          </cell>
        </row>
        <row r="203">
          <cell r="B203">
            <v>14</v>
          </cell>
          <cell r="C203" t="str">
            <v>CEDAR</v>
          </cell>
          <cell r="D203" t="str">
            <v>CITY OR VILLAGE</v>
          </cell>
          <cell r="E203">
            <v>57</v>
          </cell>
          <cell r="F203" t="str">
            <v>MAGNET</v>
          </cell>
          <cell r="G203">
            <v>52969</v>
          </cell>
          <cell r="H203">
            <v>7322</v>
          </cell>
          <cell r="I203">
            <v>1621</v>
          </cell>
          <cell r="J203">
            <v>1105185</v>
          </cell>
          <cell r="K203">
            <v>450650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1617747</v>
          </cell>
        </row>
        <row r="204">
          <cell r="B204">
            <v>14</v>
          </cell>
          <cell r="C204" t="str">
            <v>CEDAR</v>
          </cell>
          <cell r="D204" t="str">
            <v>CITY OR VILLAGE</v>
          </cell>
          <cell r="E204">
            <v>23</v>
          </cell>
          <cell r="F204" t="str">
            <v>OBERT</v>
          </cell>
          <cell r="G204">
            <v>22048</v>
          </cell>
          <cell r="H204">
            <v>0</v>
          </cell>
          <cell r="I204">
            <v>0</v>
          </cell>
          <cell r="J204">
            <v>380530</v>
          </cell>
          <cell r="K204">
            <v>168175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570753</v>
          </cell>
        </row>
        <row r="205">
          <cell r="B205">
            <v>14</v>
          </cell>
          <cell r="C205" t="str">
            <v>CEDAR</v>
          </cell>
          <cell r="D205" t="str">
            <v>CITY OR VILLAGE</v>
          </cell>
          <cell r="E205">
            <v>946</v>
          </cell>
          <cell r="F205" t="str">
            <v>RANDOLPH</v>
          </cell>
          <cell r="G205">
            <v>2120507</v>
          </cell>
          <cell r="H205">
            <v>705769</v>
          </cell>
          <cell r="I205">
            <v>570735</v>
          </cell>
          <cell r="J205">
            <v>28240645</v>
          </cell>
          <cell r="K205">
            <v>5020595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36658251</v>
          </cell>
        </row>
        <row r="206">
          <cell r="B206">
            <v>14</v>
          </cell>
          <cell r="C206" t="str">
            <v>CEDAR</v>
          </cell>
          <cell r="D206" t="str">
            <v>CITY OR VILLAGE</v>
          </cell>
          <cell r="E206">
            <v>96</v>
          </cell>
          <cell r="F206" t="str">
            <v>ST HELENA</v>
          </cell>
          <cell r="G206">
            <v>5413</v>
          </cell>
          <cell r="H206">
            <v>13518</v>
          </cell>
          <cell r="I206">
            <v>2994</v>
          </cell>
          <cell r="J206">
            <v>2903015</v>
          </cell>
          <cell r="K206">
            <v>145155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3070095</v>
          </cell>
        </row>
        <row r="207">
          <cell r="B207">
            <v>14</v>
          </cell>
          <cell r="C207" t="str">
            <v>CEDAR</v>
          </cell>
          <cell r="D207" t="str">
            <v>CITY OR VILLAGE</v>
          </cell>
          <cell r="E207">
            <v>166</v>
          </cell>
          <cell r="F207" t="str">
            <v>WYNOT</v>
          </cell>
          <cell r="G207">
            <v>68150</v>
          </cell>
          <cell r="H207">
            <v>26713</v>
          </cell>
          <cell r="I207">
            <v>5916</v>
          </cell>
          <cell r="J207">
            <v>7756615</v>
          </cell>
          <cell r="K207">
            <v>1201415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9058809</v>
          </cell>
        </row>
        <row r="208">
          <cell r="B208">
            <v>14</v>
          </cell>
          <cell r="C208" t="str">
            <v>CEDAR</v>
          </cell>
          <cell r="D208" t="str">
            <v>CITY OR VILLAGE</v>
          </cell>
        </row>
        <row r="209">
          <cell r="B209">
            <v>14</v>
          </cell>
          <cell r="C209" t="str">
            <v>CEDAR</v>
          </cell>
          <cell r="D209" t="str">
            <v>CITY OR VILLAGE</v>
          </cell>
        </row>
        <row r="210">
          <cell r="B210">
            <v>14</v>
          </cell>
          <cell r="C210" t="str">
            <v>CEDAR</v>
          </cell>
          <cell r="D210" t="str">
            <v>CITY OR VILLAGE</v>
          </cell>
        </row>
        <row r="211">
          <cell r="B211">
            <v>14</v>
          </cell>
          <cell r="C211" t="str">
            <v>CEDAR</v>
          </cell>
          <cell r="D211" t="str">
            <v>CITY OR VILLAGE</v>
          </cell>
        </row>
        <row r="212">
          <cell r="B212">
            <v>14</v>
          </cell>
          <cell r="C212" t="str">
            <v>CEDAR</v>
          </cell>
          <cell r="D212" t="str">
            <v>CITY OR VILLAGE</v>
          </cell>
        </row>
        <row r="213">
          <cell r="B213">
            <v>15</v>
          </cell>
          <cell r="C213" t="str">
            <v>CHASE</v>
          </cell>
          <cell r="D213" t="str">
            <v>CITY OR VILLAGE</v>
          </cell>
          <cell r="E213">
            <v>2071</v>
          </cell>
          <cell r="F213" t="str">
            <v>IMPERIAL</v>
          </cell>
          <cell r="G213">
            <v>6703421</v>
          </cell>
          <cell r="H213">
            <v>3692225</v>
          </cell>
          <cell r="I213">
            <v>903192</v>
          </cell>
          <cell r="J213">
            <v>111705520</v>
          </cell>
          <cell r="K213">
            <v>53513935</v>
          </cell>
          <cell r="L213">
            <v>0</v>
          </cell>
          <cell r="M213">
            <v>0</v>
          </cell>
          <cell r="N213">
            <v>814606</v>
          </cell>
          <cell r="O213">
            <v>0</v>
          </cell>
          <cell r="P213">
            <v>10053</v>
          </cell>
          <cell r="Q213">
            <v>0</v>
          </cell>
          <cell r="R213">
            <v>177342952</v>
          </cell>
        </row>
        <row r="214">
          <cell r="B214">
            <v>15</v>
          </cell>
          <cell r="C214" t="str">
            <v>CHASE</v>
          </cell>
          <cell r="D214" t="str">
            <v>CITY OR VILLAGE</v>
          </cell>
          <cell r="E214">
            <v>23</v>
          </cell>
          <cell r="F214" t="str">
            <v>LAMAR</v>
          </cell>
          <cell r="G214">
            <v>195056</v>
          </cell>
          <cell r="H214">
            <v>105474</v>
          </cell>
          <cell r="I214">
            <v>23177</v>
          </cell>
          <cell r="J214">
            <v>825182</v>
          </cell>
          <cell r="K214">
            <v>114137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1263026</v>
          </cell>
        </row>
        <row r="215">
          <cell r="B215">
            <v>15</v>
          </cell>
          <cell r="C215" t="str">
            <v>CHASE</v>
          </cell>
          <cell r="D215" t="str">
            <v>CITY OR VILLAGE</v>
          </cell>
          <cell r="E215">
            <v>577</v>
          </cell>
          <cell r="F215" t="str">
            <v>WAUNETA</v>
          </cell>
          <cell r="G215">
            <v>306076</v>
          </cell>
          <cell r="H215">
            <v>640025</v>
          </cell>
          <cell r="I215">
            <v>640835</v>
          </cell>
          <cell r="J215">
            <v>15779387</v>
          </cell>
          <cell r="K215">
            <v>4294761</v>
          </cell>
          <cell r="L215">
            <v>0</v>
          </cell>
          <cell r="M215">
            <v>0</v>
          </cell>
          <cell r="N215">
            <v>126759</v>
          </cell>
          <cell r="O215">
            <v>1935</v>
          </cell>
          <cell r="P215">
            <v>53639</v>
          </cell>
          <cell r="Q215">
            <v>0</v>
          </cell>
          <cell r="R215">
            <v>21843417</v>
          </cell>
        </row>
        <row r="216">
          <cell r="B216">
            <v>15</v>
          </cell>
          <cell r="C216" t="str">
            <v>CHASE</v>
          </cell>
          <cell r="D216" t="str">
            <v>CITY OR VILLAGE</v>
          </cell>
        </row>
        <row r="217">
          <cell r="B217">
            <v>15</v>
          </cell>
          <cell r="C217" t="str">
            <v>CHASE</v>
          </cell>
          <cell r="D217" t="str">
            <v>CITY OR VILLAGE</v>
          </cell>
        </row>
        <row r="218">
          <cell r="B218">
            <v>15</v>
          </cell>
          <cell r="C218" t="str">
            <v>CHASE</v>
          </cell>
          <cell r="D218" t="str">
            <v>CITY OR VILLAGE</v>
          </cell>
        </row>
        <row r="219">
          <cell r="B219">
            <v>15</v>
          </cell>
          <cell r="C219" t="str">
            <v>CHASE</v>
          </cell>
          <cell r="D219" t="str">
            <v>CITY OR VILLAGE</v>
          </cell>
        </row>
        <row r="220">
          <cell r="B220">
            <v>15</v>
          </cell>
          <cell r="C220" t="str">
            <v>CHASE</v>
          </cell>
          <cell r="D220" t="str">
            <v>CITY OR VILLAGE</v>
          </cell>
        </row>
        <row r="221">
          <cell r="B221">
            <v>15</v>
          </cell>
          <cell r="C221" t="str">
            <v>CHASE</v>
          </cell>
          <cell r="D221" t="str">
            <v>CITY OR VILLAGE</v>
          </cell>
        </row>
        <row r="222">
          <cell r="B222">
            <v>15</v>
          </cell>
          <cell r="C222" t="str">
            <v>CHASE</v>
          </cell>
          <cell r="D222" t="str">
            <v>CITY OR VILLAGE</v>
          </cell>
        </row>
        <row r="223">
          <cell r="B223">
            <v>15</v>
          </cell>
          <cell r="C223" t="str">
            <v>CHASE</v>
          </cell>
          <cell r="D223" t="str">
            <v>CITY OR VILLAGE</v>
          </cell>
        </row>
        <row r="224">
          <cell r="B224">
            <v>15</v>
          </cell>
          <cell r="C224" t="str">
            <v>CHASE</v>
          </cell>
          <cell r="D224" t="str">
            <v>CITY OR VILLAGE</v>
          </cell>
        </row>
        <row r="225">
          <cell r="B225">
            <v>15</v>
          </cell>
          <cell r="C225" t="str">
            <v>CHASE</v>
          </cell>
          <cell r="D225" t="str">
            <v>CITY OR VILLAGE</v>
          </cell>
        </row>
        <row r="226">
          <cell r="B226">
            <v>15</v>
          </cell>
          <cell r="C226" t="str">
            <v>CHASE</v>
          </cell>
          <cell r="D226" t="str">
            <v>CITY OR VILLAGE</v>
          </cell>
        </row>
        <row r="227">
          <cell r="B227">
            <v>15</v>
          </cell>
          <cell r="C227" t="str">
            <v>CHASE</v>
          </cell>
          <cell r="D227" t="str">
            <v>CITY OR VILLAGE</v>
          </cell>
        </row>
        <row r="228">
          <cell r="B228">
            <v>16</v>
          </cell>
          <cell r="C228" t="str">
            <v>CHERRY</v>
          </cell>
          <cell r="D228" t="str">
            <v>CITY OR VILLAGE</v>
          </cell>
          <cell r="E228">
            <v>154</v>
          </cell>
          <cell r="F228" t="str">
            <v>CODY</v>
          </cell>
          <cell r="G228">
            <v>334241</v>
          </cell>
          <cell r="H228">
            <v>299817</v>
          </cell>
          <cell r="I228">
            <v>66395</v>
          </cell>
          <cell r="J228">
            <v>4885841</v>
          </cell>
          <cell r="K228">
            <v>595341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4047</v>
          </cell>
          <cell r="Q228">
            <v>0</v>
          </cell>
          <cell r="R228">
            <v>6185682</v>
          </cell>
        </row>
        <row r="229">
          <cell r="B229">
            <v>16</v>
          </cell>
          <cell r="C229" t="str">
            <v>CHERRY</v>
          </cell>
          <cell r="D229" t="str">
            <v>CITY OR VILLAGE</v>
          </cell>
          <cell r="E229">
            <v>69</v>
          </cell>
          <cell r="F229" t="str">
            <v>CROOKSTON</v>
          </cell>
          <cell r="G229">
            <v>197540</v>
          </cell>
          <cell r="H229">
            <v>309578</v>
          </cell>
          <cell r="I229">
            <v>68557</v>
          </cell>
          <cell r="J229">
            <v>1272192</v>
          </cell>
          <cell r="K229">
            <v>2061950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3909817</v>
          </cell>
        </row>
        <row r="230">
          <cell r="B230">
            <v>16</v>
          </cell>
          <cell r="C230" t="str">
            <v>CHERRY</v>
          </cell>
          <cell r="D230" t="str">
            <v>CITY OR VILLAGE</v>
          </cell>
          <cell r="E230">
            <v>77</v>
          </cell>
          <cell r="F230" t="str">
            <v>KILGORE</v>
          </cell>
          <cell r="G230">
            <v>281294</v>
          </cell>
          <cell r="H230">
            <v>416844</v>
          </cell>
          <cell r="I230">
            <v>92311</v>
          </cell>
          <cell r="J230">
            <v>2056362</v>
          </cell>
          <cell r="K230">
            <v>309261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660</v>
          </cell>
          <cell r="Q230">
            <v>0</v>
          </cell>
          <cell r="R230">
            <v>3156732</v>
          </cell>
        </row>
        <row r="231">
          <cell r="B231">
            <v>16</v>
          </cell>
          <cell r="C231" t="str">
            <v>CHERRY</v>
          </cell>
          <cell r="D231" t="str">
            <v>CITY OR VILLAGE</v>
          </cell>
          <cell r="E231">
            <v>128</v>
          </cell>
          <cell r="F231" t="str">
            <v>MERRIMAN</v>
          </cell>
          <cell r="G231">
            <v>21706</v>
          </cell>
          <cell r="H231">
            <v>189586</v>
          </cell>
          <cell r="I231">
            <v>41984</v>
          </cell>
          <cell r="J231">
            <v>1569504</v>
          </cell>
          <cell r="K231">
            <v>638774</v>
          </cell>
          <cell r="L231">
            <v>0</v>
          </cell>
          <cell r="M231">
            <v>0</v>
          </cell>
          <cell r="N231">
            <v>66677</v>
          </cell>
          <cell r="O231">
            <v>0</v>
          </cell>
          <cell r="P231">
            <v>0</v>
          </cell>
          <cell r="Q231">
            <v>0</v>
          </cell>
          <cell r="R231">
            <v>2528231</v>
          </cell>
        </row>
        <row r="232">
          <cell r="B232">
            <v>16</v>
          </cell>
          <cell r="C232" t="str">
            <v>CHERRY</v>
          </cell>
          <cell r="D232" t="str">
            <v>CITY OR VILLAGE</v>
          </cell>
          <cell r="E232">
            <v>20</v>
          </cell>
          <cell r="F232" t="str">
            <v>NENZEL</v>
          </cell>
          <cell r="G232">
            <v>45355</v>
          </cell>
          <cell r="H232">
            <v>111</v>
          </cell>
          <cell r="I232">
            <v>48</v>
          </cell>
          <cell r="J232">
            <v>558095</v>
          </cell>
          <cell r="K232">
            <v>57065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660674</v>
          </cell>
        </row>
        <row r="233">
          <cell r="B233">
            <v>16</v>
          </cell>
          <cell r="C233" t="str">
            <v>CHERRY</v>
          </cell>
          <cell r="D233" t="str">
            <v>CITY OR VILLAGE</v>
          </cell>
          <cell r="E233">
            <v>2737</v>
          </cell>
          <cell r="F233" t="str">
            <v>VALENTINE</v>
          </cell>
          <cell r="G233">
            <v>8411006</v>
          </cell>
          <cell r="H233">
            <v>485060</v>
          </cell>
          <cell r="I233">
            <v>139014</v>
          </cell>
          <cell r="J233">
            <v>116144120</v>
          </cell>
          <cell r="K233">
            <v>57741030</v>
          </cell>
          <cell r="L233">
            <v>0</v>
          </cell>
          <cell r="M233">
            <v>0</v>
          </cell>
          <cell r="N233">
            <v>32725</v>
          </cell>
          <cell r="O233">
            <v>0</v>
          </cell>
          <cell r="P233">
            <v>0</v>
          </cell>
          <cell r="Q233">
            <v>0</v>
          </cell>
          <cell r="R233">
            <v>182952955</v>
          </cell>
        </row>
        <row r="234">
          <cell r="B234">
            <v>16</v>
          </cell>
          <cell r="C234" t="str">
            <v>CHERRY</v>
          </cell>
          <cell r="D234" t="str">
            <v>CITY OR VILLAGE</v>
          </cell>
          <cell r="E234">
            <v>63</v>
          </cell>
          <cell r="F234" t="str">
            <v>WOOD LAKE</v>
          </cell>
          <cell r="G234">
            <v>89376</v>
          </cell>
          <cell r="H234">
            <v>227075</v>
          </cell>
          <cell r="I234">
            <v>41106</v>
          </cell>
          <cell r="J234">
            <v>1607639</v>
          </cell>
          <cell r="K234">
            <v>152205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2117401</v>
          </cell>
        </row>
        <row r="235">
          <cell r="B235">
            <v>16</v>
          </cell>
          <cell r="C235" t="str">
            <v>CHERRY</v>
          </cell>
          <cell r="D235" t="str">
            <v>CITY OR VILLAGE</v>
          </cell>
        </row>
        <row r="236">
          <cell r="B236">
            <v>16</v>
          </cell>
          <cell r="C236" t="str">
            <v>CHERRY</v>
          </cell>
          <cell r="D236" t="str">
            <v>CITY OR VILLAGE</v>
          </cell>
        </row>
        <row r="237">
          <cell r="B237">
            <v>16</v>
          </cell>
          <cell r="C237" t="str">
            <v>CHERRY</v>
          </cell>
          <cell r="D237" t="str">
            <v>CITY OR VILLAGE</v>
          </cell>
        </row>
        <row r="238">
          <cell r="B238">
            <v>16</v>
          </cell>
          <cell r="C238" t="str">
            <v>CHERRY</v>
          </cell>
          <cell r="D238" t="str">
            <v>CITY OR VILLAGE</v>
          </cell>
        </row>
        <row r="239">
          <cell r="B239">
            <v>16</v>
          </cell>
          <cell r="C239" t="str">
            <v>CHERRY</v>
          </cell>
          <cell r="D239" t="str">
            <v>CITY OR VILLAGE</v>
          </cell>
        </row>
        <row r="240">
          <cell r="B240">
            <v>16</v>
          </cell>
          <cell r="C240" t="str">
            <v>CHERRY</v>
          </cell>
          <cell r="D240" t="str">
            <v>CITY OR VILLAGE</v>
          </cell>
        </row>
        <row r="241">
          <cell r="B241">
            <v>16</v>
          </cell>
          <cell r="C241" t="str">
            <v>CHERRY</v>
          </cell>
          <cell r="D241" t="str">
            <v>CITY OR VILLAGE</v>
          </cell>
        </row>
        <row r="242">
          <cell r="B242">
            <v>16</v>
          </cell>
          <cell r="C242" t="str">
            <v>CHERRY</v>
          </cell>
          <cell r="D242" t="str">
            <v>CITY OR VILLAGE</v>
          </cell>
        </row>
        <row r="243">
          <cell r="B243">
            <v>17</v>
          </cell>
          <cell r="C243" t="str">
            <v>CHEYENNE</v>
          </cell>
          <cell r="D243" t="str">
            <v>CITY OR VILLAGE</v>
          </cell>
          <cell r="E243">
            <v>315</v>
          </cell>
          <cell r="F243" t="str">
            <v>DALTON</v>
          </cell>
          <cell r="G243">
            <v>285091</v>
          </cell>
          <cell r="H243">
            <v>685042</v>
          </cell>
          <cell r="I243">
            <v>1061013</v>
          </cell>
          <cell r="J243">
            <v>10661760</v>
          </cell>
          <cell r="K243">
            <v>1100655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13793561</v>
          </cell>
        </row>
        <row r="244">
          <cell r="B244">
            <v>17</v>
          </cell>
          <cell r="C244" t="str">
            <v>CHEYENNE</v>
          </cell>
          <cell r="D244" t="str">
            <v>CITY OR VILLAGE</v>
          </cell>
          <cell r="E244">
            <v>214</v>
          </cell>
          <cell r="F244" t="str">
            <v>GURLEY</v>
          </cell>
          <cell r="G244">
            <v>172813</v>
          </cell>
          <cell r="H244">
            <v>399697</v>
          </cell>
          <cell r="I244">
            <v>614946</v>
          </cell>
          <cell r="J244">
            <v>5769468</v>
          </cell>
          <cell r="K244">
            <v>6001760</v>
          </cell>
          <cell r="L244">
            <v>0</v>
          </cell>
          <cell r="M244">
            <v>0</v>
          </cell>
          <cell r="N244">
            <v>9954</v>
          </cell>
          <cell r="O244">
            <v>0</v>
          </cell>
          <cell r="P244">
            <v>0</v>
          </cell>
          <cell r="Q244">
            <v>0</v>
          </cell>
          <cell r="R244">
            <v>12968638</v>
          </cell>
        </row>
        <row r="245">
          <cell r="B245">
            <v>17</v>
          </cell>
          <cell r="C245" t="str">
            <v>CHEYENNE</v>
          </cell>
          <cell r="D245" t="str">
            <v>CITY OR VILLAGE</v>
          </cell>
          <cell r="E245">
            <v>318</v>
          </cell>
          <cell r="F245" t="str">
            <v>LODGEPOLE</v>
          </cell>
          <cell r="G245">
            <v>105592</v>
          </cell>
          <cell r="H245">
            <v>707759</v>
          </cell>
          <cell r="I245">
            <v>2754739</v>
          </cell>
          <cell r="J245">
            <v>10714286</v>
          </cell>
          <cell r="K245">
            <v>1833808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4185</v>
          </cell>
          <cell r="Q245">
            <v>0</v>
          </cell>
          <cell r="R245">
            <v>16120369</v>
          </cell>
        </row>
        <row r="246">
          <cell r="B246">
            <v>17</v>
          </cell>
          <cell r="C246" t="str">
            <v>CHEYENNE</v>
          </cell>
          <cell r="D246" t="str">
            <v>CITY OR VILLAGE</v>
          </cell>
          <cell r="E246">
            <v>337</v>
          </cell>
          <cell r="F246" t="str">
            <v>POTTER</v>
          </cell>
          <cell r="G246">
            <v>2226311</v>
          </cell>
          <cell r="H246">
            <v>904209</v>
          </cell>
          <cell r="I246">
            <v>3658207</v>
          </cell>
          <cell r="J246">
            <v>12491872</v>
          </cell>
          <cell r="K246">
            <v>2154466</v>
          </cell>
          <cell r="L246">
            <v>1417732</v>
          </cell>
          <cell r="M246">
            <v>0</v>
          </cell>
          <cell r="N246">
            <v>10598</v>
          </cell>
          <cell r="O246">
            <v>0</v>
          </cell>
          <cell r="P246">
            <v>16182</v>
          </cell>
          <cell r="Q246">
            <v>0</v>
          </cell>
          <cell r="R246">
            <v>22879577</v>
          </cell>
        </row>
        <row r="247">
          <cell r="B247">
            <v>17</v>
          </cell>
          <cell r="C247" t="str">
            <v>CHEYENNE</v>
          </cell>
          <cell r="D247" t="str">
            <v>CITY OR VILLAGE</v>
          </cell>
          <cell r="E247">
            <v>6757</v>
          </cell>
          <cell r="F247" t="str">
            <v>SIDNEY</v>
          </cell>
          <cell r="G247">
            <v>27127052</v>
          </cell>
          <cell r="H247">
            <v>8808689</v>
          </cell>
          <cell r="I247">
            <v>15001008</v>
          </cell>
          <cell r="J247">
            <v>229717127</v>
          </cell>
          <cell r="K247">
            <v>135775384</v>
          </cell>
          <cell r="L247">
            <v>668802</v>
          </cell>
          <cell r="M247">
            <v>0</v>
          </cell>
          <cell r="N247">
            <v>1140161</v>
          </cell>
          <cell r="O247">
            <v>14100</v>
          </cell>
          <cell r="P247">
            <v>54150</v>
          </cell>
          <cell r="Q247">
            <v>0</v>
          </cell>
          <cell r="R247">
            <v>418306473</v>
          </cell>
        </row>
        <row r="248">
          <cell r="B248">
            <v>17</v>
          </cell>
          <cell r="C248" t="str">
            <v>CHEYENNE</v>
          </cell>
          <cell r="D248" t="str">
            <v>CITY OR VILLAGE</v>
          </cell>
        </row>
        <row r="249">
          <cell r="B249">
            <v>17</v>
          </cell>
          <cell r="C249" t="str">
            <v>CHEYENNE</v>
          </cell>
          <cell r="D249" t="str">
            <v>CITY OR VILLAGE</v>
          </cell>
        </row>
        <row r="250">
          <cell r="B250">
            <v>17</v>
          </cell>
          <cell r="C250" t="str">
            <v>CHEYENNE</v>
          </cell>
          <cell r="D250" t="str">
            <v>CITY OR VILLAGE</v>
          </cell>
        </row>
        <row r="251">
          <cell r="B251">
            <v>17</v>
          </cell>
          <cell r="C251" t="str">
            <v>CHEYENNE</v>
          </cell>
          <cell r="D251" t="str">
            <v>CITY OR VILLAGE</v>
          </cell>
        </row>
        <row r="252">
          <cell r="B252">
            <v>17</v>
          </cell>
          <cell r="C252" t="str">
            <v>CHEYENNE</v>
          </cell>
          <cell r="D252" t="str">
            <v>CITY OR VILLAGE</v>
          </cell>
        </row>
        <row r="253">
          <cell r="B253">
            <v>17</v>
          </cell>
          <cell r="C253" t="str">
            <v>CHEYENNE</v>
          </cell>
          <cell r="D253" t="str">
            <v>CITY OR VILLAGE</v>
          </cell>
        </row>
        <row r="254">
          <cell r="B254">
            <v>17</v>
          </cell>
          <cell r="C254" t="str">
            <v>CHEYENNE</v>
          </cell>
          <cell r="D254" t="str">
            <v>CITY OR VILLAGE</v>
          </cell>
        </row>
        <row r="255">
          <cell r="B255">
            <v>17</v>
          </cell>
          <cell r="C255" t="str">
            <v>CHEYENNE</v>
          </cell>
          <cell r="D255" t="str">
            <v>CITY OR VILLAGE</v>
          </cell>
        </row>
        <row r="256">
          <cell r="B256">
            <v>17</v>
          </cell>
          <cell r="C256" t="str">
            <v>CHEYENNE</v>
          </cell>
          <cell r="D256" t="str">
            <v>CITY OR VILLAGE</v>
          </cell>
        </row>
        <row r="257">
          <cell r="B257">
            <v>17</v>
          </cell>
          <cell r="C257" t="str">
            <v>CHEYENNE</v>
          </cell>
          <cell r="D257" t="str">
            <v>CITY OR VILLAGE</v>
          </cell>
        </row>
        <row r="258">
          <cell r="B258">
            <v>18</v>
          </cell>
          <cell r="C258" t="str">
            <v>CLAY</v>
          </cell>
          <cell r="D258" t="str">
            <v>CITY OR VILLAGE</v>
          </cell>
          <cell r="E258">
            <v>760</v>
          </cell>
          <cell r="F258" t="str">
            <v>CLAY CENTER</v>
          </cell>
          <cell r="G258">
            <v>838976</v>
          </cell>
          <cell r="H258">
            <v>629809</v>
          </cell>
          <cell r="I258">
            <v>64658</v>
          </cell>
          <cell r="J258">
            <v>28230755</v>
          </cell>
          <cell r="K258">
            <v>6428095</v>
          </cell>
          <cell r="L258">
            <v>0</v>
          </cell>
          <cell r="M258">
            <v>0</v>
          </cell>
          <cell r="N258">
            <v>32690</v>
          </cell>
          <cell r="O258">
            <v>0</v>
          </cell>
          <cell r="P258">
            <v>0</v>
          </cell>
          <cell r="Q258">
            <v>0</v>
          </cell>
          <cell r="R258">
            <v>36224983</v>
          </cell>
        </row>
        <row r="259">
          <cell r="B259">
            <v>18</v>
          </cell>
          <cell r="C259" t="str">
            <v>CLAY</v>
          </cell>
          <cell r="D259" t="str">
            <v>CITY OR VILLAGE</v>
          </cell>
          <cell r="E259">
            <v>67</v>
          </cell>
          <cell r="F259" t="str">
            <v>DEWEESE</v>
          </cell>
          <cell r="G259">
            <v>316714</v>
          </cell>
          <cell r="H259">
            <v>48529</v>
          </cell>
          <cell r="I259">
            <v>2293</v>
          </cell>
          <cell r="J259">
            <v>1907275</v>
          </cell>
          <cell r="K259">
            <v>786960</v>
          </cell>
          <cell r="L259">
            <v>0</v>
          </cell>
          <cell r="M259">
            <v>0</v>
          </cell>
          <cell r="N259">
            <v>5500</v>
          </cell>
          <cell r="O259">
            <v>0</v>
          </cell>
          <cell r="P259">
            <v>0</v>
          </cell>
          <cell r="Q259">
            <v>0</v>
          </cell>
          <cell r="R259">
            <v>3067271</v>
          </cell>
        </row>
        <row r="260">
          <cell r="B260">
            <v>18</v>
          </cell>
          <cell r="C260" t="str">
            <v>CLAY</v>
          </cell>
          <cell r="D260" t="str">
            <v>CITY OR VILLAGE</v>
          </cell>
          <cell r="E260">
            <v>498</v>
          </cell>
          <cell r="F260" t="str">
            <v>EDGAR</v>
          </cell>
          <cell r="G260">
            <v>562829</v>
          </cell>
          <cell r="H260">
            <v>885657</v>
          </cell>
          <cell r="I260">
            <v>2023433</v>
          </cell>
          <cell r="J260">
            <v>13193280</v>
          </cell>
          <cell r="K260">
            <v>3505935</v>
          </cell>
          <cell r="L260">
            <v>0</v>
          </cell>
          <cell r="M260">
            <v>0</v>
          </cell>
          <cell r="N260">
            <v>334600</v>
          </cell>
          <cell r="O260">
            <v>66735</v>
          </cell>
          <cell r="P260">
            <v>40560</v>
          </cell>
          <cell r="Q260">
            <v>0</v>
          </cell>
          <cell r="R260">
            <v>20613029</v>
          </cell>
        </row>
        <row r="261">
          <cell r="B261">
            <v>18</v>
          </cell>
          <cell r="C261" t="str">
            <v>CLAY</v>
          </cell>
          <cell r="D261" t="str">
            <v>CITY OR VILLAGE</v>
          </cell>
          <cell r="E261">
            <v>387</v>
          </cell>
          <cell r="F261" t="str">
            <v>FAIRFIELD</v>
          </cell>
          <cell r="G261">
            <v>1815066</v>
          </cell>
          <cell r="H261">
            <v>1286805</v>
          </cell>
          <cell r="I261">
            <v>4101396</v>
          </cell>
          <cell r="J261">
            <v>11215490</v>
          </cell>
          <cell r="K261">
            <v>4096840</v>
          </cell>
          <cell r="L261">
            <v>0</v>
          </cell>
          <cell r="M261">
            <v>0</v>
          </cell>
          <cell r="N261">
            <v>274670</v>
          </cell>
          <cell r="O261">
            <v>157140</v>
          </cell>
          <cell r="P261">
            <v>13770</v>
          </cell>
          <cell r="Q261">
            <v>0</v>
          </cell>
          <cell r="R261">
            <v>22961177</v>
          </cell>
        </row>
        <row r="262">
          <cell r="B262">
            <v>18</v>
          </cell>
          <cell r="C262" t="str">
            <v>CLAY</v>
          </cell>
          <cell r="D262" t="str">
            <v>CITY OR VILLAGE</v>
          </cell>
          <cell r="E262">
            <v>310</v>
          </cell>
          <cell r="F262" t="str">
            <v>GLENVIL</v>
          </cell>
          <cell r="G262">
            <v>13573</v>
          </cell>
          <cell r="H262">
            <v>683829</v>
          </cell>
          <cell r="I262">
            <v>3137981</v>
          </cell>
          <cell r="J262">
            <v>8210650</v>
          </cell>
          <cell r="K262">
            <v>415605</v>
          </cell>
          <cell r="L262">
            <v>0</v>
          </cell>
          <cell r="M262">
            <v>0</v>
          </cell>
          <cell r="N262">
            <v>16845</v>
          </cell>
          <cell r="O262">
            <v>0</v>
          </cell>
          <cell r="P262">
            <v>0</v>
          </cell>
          <cell r="Q262">
            <v>0</v>
          </cell>
          <cell r="R262">
            <v>12478483</v>
          </cell>
        </row>
        <row r="263">
          <cell r="B263">
            <v>18</v>
          </cell>
          <cell r="C263" t="str">
            <v>CLAY</v>
          </cell>
          <cell r="D263" t="str">
            <v>CITY OR VILLAGE</v>
          </cell>
          <cell r="E263">
            <v>1013</v>
          </cell>
          <cell r="F263" t="str">
            <v>HARVARD</v>
          </cell>
          <cell r="G263">
            <v>332713</v>
          </cell>
          <cell r="H263">
            <v>795841</v>
          </cell>
          <cell r="I263">
            <v>1005095</v>
          </cell>
          <cell r="J263">
            <v>18438820</v>
          </cell>
          <cell r="K263">
            <v>3047770</v>
          </cell>
          <cell r="L263">
            <v>0</v>
          </cell>
          <cell r="M263">
            <v>0</v>
          </cell>
          <cell r="N263">
            <v>102480</v>
          </cell>
          <cell r="O263">
            <v>62675</v>
          </cell>
          <cell r="P263">
            <v>18590</v>
          </cell>
          <cell r="Q263">
            <v>0</v>
          </cell>
          <cell r="R263">
            <v>23803984</v>
          </cell>
        </row>
        <row r="264">
          <cell r="B264">
            <v>18</v>
          </cell>
          <cell r="C264" t="str">
            <v>CLAY</v>
          </cell>
          <cell r="D264" t="str">
            <v>CITY OR VILLAGE</v>
          </cell>
          <cell r="E264">
            <v>63</v>
          </cell>
          <cell r="F264" t="str">
            <v>ONG</v>
          </cell>
          <cell r="G264">
            <v>314230</v>
          </cell>
          <cell r="H264">
            <v>41424</v>
          </cell>
          <cell r="I264">
            <v>1957</v>
          </cell>
          <cell r="J264">
            <v>1225925</v>
          </cell>
          <cell r="K264">
            <v>716610</v>
          </cell>
          <cell r="L264">
            <v>0</v>
          </cell>
          <cell r="M264">
            <v>0</v>
          </cell>
          <cell r="N264">
            <v>126795</v>
          </cell>
          <cell r="O264">
            <v>0</v>
          </cell>
          <cell r="P264">
            <v>8910</v>
          </cell>
          <cell r="Q264">
            <v>0</v>
          </cell>
          <cell r="R264">
            <v>2435851</v>
          </cell>
        </row>
        <row r="265">
          <cell r="B265">
            <v>18</v>
          </cell>
          <cell r="C265" t="str">
            <v>CLAY</v>
          </cell>
          <cell r="D265" t="str">
            <v>CITY OR VILLAGE</v>
          </cell>
          <cell r="E265">
            <v>47</v>
          </cell>
          <cell r="F265" t="str">
            <v>SARONVILLE</v>
          </cell>
          <cell r="G265">
            <v>206666</v>
          </cell>
          <cell r="H265">
            <v>104039</v>
          </cell>
          <cell r="I265">
            <v>288226</v>
          </cell>
          <cell r="J265">
            <v>1366020</v>
          </cell>
          <cell r="K265">
            <v>3625220</v>
          </cell>
          <cell r="L265">
            <v>0</v>
          </cell>
          <cell r="M265">
            <v>0</v>
          </cell>
          <cell r="N265">
            <v>97745</v>
          </cell>
          <cell r="O265">
            <v>0</v>
          </cell>
          <cell r="P265">
            <v>0</v>
          </cell>
          <cell r="Q265">
            <v>0</v>
          </cell>
          <cell r="R265">
            <v>5687916</v>
          </cell>
        </row>
        <row r="266">
          <cell r="B266">
            <v>18</v>
          </cell>
          <cell r="C266" t="str">
            <v>CLAY</v>
          </cell>
          <cell r="D266" t="str">
            <v>CITY OR VILLAGE</v>
          </cell>
          <cell r="E266">
            <v>1502</v>
          </cell>
          <cell r="F266" t="str">
            <v>SUTTON</v>
          </cell>
          <cell r="G266">
            <v>8232455</v>
          </cell>
          <cell r="H266">
            <v>1532822</v>
          </cell>
          <cell r="I266">
            <v>1534000</v>
          </cell>
          <cell r="J266">
            <v>68151300</v>
          </cell>
          <cell r="K266">
            <v>23169905</v>
          </cell>
          <cell r="L266">
            <v>0</v>
          </cell>
          <cell r="M266">
            <v>0</v>
          </cell>
          <cell r="N266">
            <v>274915</v>
          </cell>
          <cell r="O266">
            <v>66805</v>
          </cell>
          <cell r="P266">
            <v>17870</v>
          </cell>
          <cell r="Q266">
            <v>0</v>
          </cell>
          <cell r="R266">
            <v>102980072</v>
          </cell>
        </row>
        <row r="267">
          <cell r="B267">
            <v>18</v>
          </cell>
          <cell r="C267" t="str">
            <v>CLAY</v>
          </cell>
          <cell r="D267" t="str">
            <v>CITY OR VILLAGE</v>
          </cell>
          <cell r="E267">
            <v>205</v>
          </cell>
          <cell r="F267" t="str">
            <v>TRUMBULL</v>
          </cell>
          <cell r="G267">
            <v>330632</v>
          </cell>
          <cell r="H267">
            <v>352605</v>
          </cell>
          <cell r="I267">
            <v>627116</v>
          </cell>
          <cell r="J267">
            <v>8794605</v>
          </cell>
          <cell r="K267">
            <v>3645225</v>
          </cell>
          <cell r="L267">
            <v>0</v>
          </cell>
          <cell r="M267">
            <v>0</v>
          </cell>
          <cell r="N267">
            <v>537015</v>
          </cell>
          <cell r="O267">
            <v>0</v>
          </cell>
          <cell r="P267">
            <v>102245</v>
          </cell>
          <cell r="Q267">
            <v>0</v>
          </cell>
          <cell r="R267">
            <v>14389443</v>
          </cell>
        </row>
        <row r="268">
          <cell r="B268">
            <v>18</v>
          </cell>
          <cell r="C268" t="str">
            <v>CLAY</v>
          </cell>
          <cell r="D268" t="str">
            <v>CITY OR VILLAGE</v>
          </cell>
        </row>
        <row r="269">
          <cell r="B269">
            <v>18</v>
          </cell>
          <cell r="C269" t="str">
            <v>CLAY</v>
          </cell>
          <cell r="D269" t="str">
            <v>CITY OR VILLAGE</v>
          </cell>
        </row>
        <row r="270">
          <cell r="B270">
            <v>18</v>
          </cell>
          <cell r="C270" t="str">
            <v>CLAY</v>
          </cell>
          <cell r="D270" t="str">
            <v>CITY OR VILLAGE</v>
          </cell>
        </row>
        <row r="271">
          <cell r="B271">
            <v>18</v>
          </cell>
          <cell r="C271" t="str">
            <v>CLAY</v>
          </cell>
          <cell r="D271" t="str">
            <v>CITY OR VILLAGE</v>
          </cell>
        </row>
        <row r="272">
          <cell r="B272">
            <v>18</v>
          </cell>
          <cell r="C272" t="str">
            <v>CLAY</v>
          </cell>
          <cell r="D272" t="str">
            <v>CITY OR VILLAGE</v>
          </cell>
        </row>
        <row r="273">
          <cell r="B273">
            <v>19</v>
          </cell>
          <cell r="C273" t="str">
            <v>COLFAX</v>
          </cell>
          <cell r="D273" t="str">
            <v>CITY OR VILLAGE</v>
          </cell>
          <cell r="E273">
            <v>658</v>
          </cell>
          <cell r="F273" t="str">
            <v>CLARKSON</v>
          </cell>
          <cell r="G273">
            <v>2645279</v>
          </cell>
          <cell r="H273">
            <v>47834</v>
          </cell>
          <cell r="I273">
            <v>20663</v>
          </cell>
          <cell r="J273">
            <v>19134540</v>
          </cell>
          <cell r="K273">
            <v>5959051</v>
          </cell>
          <cell r="L273">
            <v>0</v>
          </cell>
          <cell r="M273">
            <v>0</v>
          </cell>
          <cell r="N273">
            <v>113905</v>
          </cell>
          <cell r="O273">
            <v>0</v>
          </cell>
          <cell r="P273">
            <v>0</v>
          </cell>
          <cell r="Q273">
            <v>0</v>
          </cell>
          <cell r="R273">
            <v>27921272</v>
          </cell>
        </row>
        <row r="274">
          <cell r="B274">
            <v>19</v>
          </cell>
          <cell r="C274" t="str">
            <v>COLFAX</v>
          </cell>
          <cell r="D274" t="str">
            <v>CITY OR VILLAGE</v>
          </cell>
          <cell r="E274">
            <v>561</v>
          </cell>
          <cell r="F274" t="str">
            <v>HOWELLS</v>
          </cell>
          <cell r="G274">
            <v>590642</v>
          </cell>
          <cell r="H274">
            <v>57447</v>
          </cell>
          <cell r="I274">
            <v>24815</v>
          </cell>
          <cell r="J274">
            <v>23599055</v>
          </cell>
          <cell r="K274">
            <v>3331145</v>
          </cell>
          <cell r="L274">
            <v>0</v>
          </cell>
          <cell r="M274">
            <v>0</v>
          </cell>
          <cell r="N274">
            <v>117690</v>
          </cell>
          <cell r="O274">
            <v>145010</v>
          </cell>
          <cell r="P274">
            <v>54660</v>
          </cell>
          <cell r="Q274">
            <v>0</v>
          </cell>
          <cell r="R274">
            <v>27920464</v>
          </cell>
        </row>
        <row r="275">
          <cell r="B275">
            <v>19</v>
          </cell>
          <cell r="C275" t="str">
            <v>COLFAX</v>
          </cell>
          <cell r="D275" t="str">
            <v>CITY OR VILLAGE</v>
          </cell>
          <cell r="E275">
            <v>405</v>
          </cell>
          <cell r="F275" t="str">
            <v>LEIGH</v>
          </cell>
          <cell r="G275">
            <v>1471521</v>
          </cell>
          <cell r="H275">
            <v>43846</v>
          </cell>
          <cell r="I275">
            <v>4500</v>
          </cell>
          <cell r="J275">
            <v>15386585</v>
          </cell>
          <cell r="K275">
            <v>5398235</v>
          </cell>
          <cell r="L275">
            <v>0</v>
          </cell>
          <cell r="M275">
            <v>0</v>
          </cell>
          <cell r="N275">
            <v>34815</v>
          </cell>
          <cell r="O275">
            <v>0</v>
          </cell>
          <cell r="P275">
            <v>0</v>
          </cell>
          <cell r="Q275">
            <v>0</v>
          </cell>
          <cell r="R275">
            <v>22339502</v>
          </cell>
        </row>
        <row r="276">
          <cell r="B276">
            <v>19</v>
          </cell>
          <cell r="C276" t="str">
            <v>COLFAX</v>
          </cell>
          <cell r="D276" t="str">
            <v>CITY OR VILLAGE</v>
          </cell>
          <cell r="E276">
            <v>73</v>
          </cell>
          <cell r="F276" t="str">
            <v>RICHLAND</v>
          </cell>
          <cell r="G276">
            <v>135771</v>
          </cell>
          <cell r="H276">
            <v>139603</v>
          </cell>
          <cell r="I276">
            <v>851698</v>
          </cell>
          <cell r="J276">
            <v>1502080</v>
          </cell>
          <cell r="K276">
            <v>1393985</v>
          </cell>
          <cell r="L276">
            <v>0</v>
          </cell>
          <cell r="M276">
            <v>0</v>
          </cell>
          <cell r="N276">
            <v>556095</v>
          </cell>
          <cell r="O276">
            <v>0</v>
          </cell>
          <cell r="P276">
            <v>0</v>
          </cell>
          <cell r="Q276">
            <v>0</v>
          </cell>
          <cell r="R276">
            <v>4579232</v>
          </cell>
        </row>
        <row r="277">
          <cell r="B277">
            <v>19</v>
          </cell>
          <cell r="C277" t="str">
            <v>COLFAX</v>
          </cell>
          <cell r="D277" t="str">
            <v>CITY OR VILLAGE</v>
          </cell>
          <cell r="E277">
            <v>95</v>
          </cell>
          <cell r="F277" t="str">
            <v>ROGERS</v>
          </cell>
          <cell r="G277">
            <v>3478</v>
          </cell>
          <cell r="H277">
            <v>238855</v>
          </cell>
          <cell r="I277">
            <v>1467772</v>
          </cell>
          <cell r="J277">
            <v>1239490</v>
          </cell>
          <cell r="K277">
            <v>406120</v>
          </cell>
          <cell r="L277">
            <v>0</v>
          </cell>
          <cell r="M277">
            <v>0</v>
          </cell>
          <cell r="N277">
            <v>133565</v>
          </cell>
          <cell r="O277">
            <v>0</v>
          </cell>
          <cell r="P277">
            <v>0</v>
          </cell>
          <cell r="Q277">
            <v>0</v>
          </cell>
          <cell r="R277">
            <v>3489280</v>
          </cell>
        </row>
        <row r="278">
          <cell r="B278">
            <v>19</v>
          </cell>
          <cell r="C278" t="str">
            <v>COLFAX</v>
          </cell>
          <cell r="D278" t="str">
            <v>CITY OR VILLAGE</v>
          </cell>
          <cell r="E278">
            <v>6213</v>
          </cell>
          <cell r="F278" t="str">
            <v>SCHUYLER</v>
          </cell>
          <cell r="G278">
            <v>4998770</v>
          </cell>
          <cell r="H278">
            <v>2681242</v>
          </cell>
          <cell r="I278">
            <v>4735857</v>
          </cell>
          <cell r="J278">
            <v>159612070</v>
          </cell>
          <cell r="K278">
            <v>38848490</v>
          </cell>
          <cell r="L278">
            <v>9240</v>
          </cell>
          <cell r="M278">
            <v>5180</v>
          </cell>
          <cell r="N278">
            <v>713100</v>
          </cell>
          <cell r="O278">
            <v>0</v>
          </cell>
          <cell r="P278">
            <v>0</v>
          </cell>
          <cell r="Q278">
            <v>0</v>
          </cell>
          <cell r="R278">
            <v>211603949</v>
          </cell>
        </row>
        <row r="279">
          <cell r="B279">
            <v>19</v>
          </cell>
          <cell r="C279" t="str">
            <v>COLFAX</v>
          </cell>
          <cell r="D279" t="str">
            <v>CITY OR VILLAGE</v>
          </cell>
        </row>
        <row r="280">
          <cell r="B280">
            <v>19</v>
          </cell>
          <cell r="C280" t="str">
            <v>COLFAX</v>
          </cell>
          <cell r="D280" t="str">
            <v>CITY OR VILLAGE</v>
          </cell>
        </row>
        <row r="281">
          <cell r="B281">
            <v>19</v>
          </cell>
          <cell r="C281" t="str">
            <v>COLFAX</v>
          </cell>
          <cell r="D281" t="str">
            <v>CITY OR VILLAGE</v>
          </cell>
        </row>
        <row r="282">
          <cell r="B282">
            <v>19</v>
          </cell>
          <cell r="C282" t="str">
            <v>COLFAX</v>
          </cell>
          <cell r="D282" t="str">
            <v>CITY OR VILLAGE</v>
          </cell>
        </row>
        <row r="283">
          <cell r="B283">
            <v>19</v>
          </cell>
          <cell r="C283" t="str">
            <v>COLFAX</v>
          </cell>
          <cell r="D283" t="str">
            <v>CITY OR VILLAGE</v>
          </cell>
        </row>
        <row r="284">
          <cell r="B284">
            <v>19</v>
          </cell>
          <cell r="C284" t="str">
            <v>COLFAX</v>
          </cell>
          <cell r="D284" t="str">
            <v>CITY OR VILLAGE</v>
          </cell>
        </row>
        <row r="285">
          <cell r="B285">
            <v>19</v>
          </cell>
          <cell r="C285" t="str">
            <v>COLFAX</v>
          </cell>
          <cell r="D285" t="str">
            <v>CITY OR VILLAGE</v>
          </cell>
        </row>
        <row r="286">
          <cell r="B286">
            <v>19</v>
          </cell>
          <cell r="C286" t="str">
            <v>COLFAX</v>
          </cell>
          <cell r="D286" t="str">
            <v>CITY OR VILLAGE</v>
          </cell>
        </row>
        <row r="287">
          <cell r="B287">
            <v>19</v>
          </cell>
          <cell r="C287" t="str">
            <v>COLFAX</v>
          </cell>
          <cell r="D287" t="str">
            <v>CITY OR VILLAGE</v>
          </cell>
        </row>
        <row r="288">
          <cell r="B288">
            <v>20</v>
          </cell>
          <cell r="C288" t="str">
            <v>CUMING</v>
          </cell>
          <cell r="D288" t="str">
            <v>CITY OR VILLAGE</v>
          </cell>
          <cell r="E288">
            <v>495</v>
          </cell>
          <cell r="F288" t="str">
            <v>BANCROFT</v>
          </cell>
          <cell r="G288">
            <v>393310</v>
          </cell>
          <cell r="H288">
            <v>379281</v>
          </cell>
          <cell r="I288">
            <v>66235</v>
          </cell>
          <cell r="J288">
            <v>16521400</v>
          </cell>
          <cell r="K288">
            <v>3662060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21022286</v>
          </cell>
        </row>
        <row r="289">
          <cell r="B289">
            <v>20</v>
          </cell>
          <cell r="C289" t="str">
            <v>CUMING</v>
          </cell>
          <cell r="D289" t="str">
            <v>CITY OR VILLAGE</v>
          </cell>
          <cell r="E289">
            <v>678</v>
          </cell>
          <cell r="F289" t="str">
            <v>BEEMER</v>
          </cell>
          <cell r="G289">
            <v>756118</v>
          </cell>
          <cell r="H289">
            <v>410790</v>
          </cell>
          <cell r="I289">
            <v>72131</v>
          </cell>
          <cell r="J289">
            <v>19206090</v>
          </cell>
          <cell r="K289">
            <v>5848755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26293884</v>
          </cell>
        </row>
        <row r="290">
          <cell r="B290">
            <v>20</v>
          </cell>
          <cell r="C290" t="str">
            <v>CUMING</v>
          </cell>
          <cell r="D290" t="str">
            <v>CITY OR VILLAGE</v>
          </cell>
          <cell r="E290">
            <v>3368</v>
          </cell>
          <cell r="F290" t="str">
            <v>WEST POINT</v>
          </cell>
          <cell r="G290">
            <v>15851397</v>
          </cell>
          <cell r="H290">
            <v>1571113</v>
          </cell>
          <cell r="I290">
            <v>513367</v>
          </cell>
          <cell r="J290">
            <v>165214625</v>
          </cell>
          <cell r="K290">
            <v>54134995</v>
          </cell>
          <cell r="L290">
            <v>8924120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246209617</v>
          </cell>
        </row>
        <row r="291">
          <cell r="B291">
            <v>20</v>
          </cell>
          <cell r="C291" t="str">
            <v>CUMING</v>
          </cell>
          <cell r="D291" t="str">
            <v>CITY OR VILLAGE</v>
          </cell>
          <cell r="E291">
            <v>1170</v>
          </cell>
          <cell r="F291" t="str">
            <v>WISNER</v>
          </cell>
          <cell r="G291">
            <v>1696331</v>
          </cell>
          <cell r="H291">
            <v>1049391</v>
          </cell>
          <cell r="I291">
            <v>237364</v>
          </cell>
          <cell r="J291">
            <v>51884585</v>
          </cell>
          <cell r="K291">
            <v>11158810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66026481</v>
          </cell>
        </row>
        <row r="292">
          <cell r="B292">
            <v>20</v>
          </cell>
          <cell r="C292" t="str">
            <v>CUMING</v>
          </cell>
          <cell r="D292" t="str">
            <v>CITY OR VILLAGE</v>
          </cell>
        </row>
        <row r="293">
          <cell r="B293">
            <v>20</v>
          </cell>
          <cell r="C293" t="str">
            <v>CUMING</v>
          </cell>
          <cell r="D293" t="str">
            <v>CITY OR VILLAGE</v>
          </cell>
        </row>
        <row r="294">
          <cell r="B294">
            <v>20</v>
          </cell>
          <cell r="C294" t="str">
            <v>CUMING</v>
          </cell>
          <cell r="D294" t="str">
            <v>CITY OR VILLAGE</v>
          </cell>
        </row>
        <row r="295">
          <cell r="B295">
            <v>20</v>
          </cell>
          <cell r="C295" t="str">
            <v>CUMING</v>
          </cell>
          <cell r="D295" t="str">
            <v>CITY OR VILLAGE</v>
          </cell>
        </row>
        <row r="296">
          <cell r="B296">
            <v>20</v>
          </cell>
          <cell r="C296" t="str">
            <v>CUMING</v>
          </cell>
          <cell r="D296" t="str">
            <v>CITY OR VILLAGE</v>
          </cell>
        </row>
        <row r="297">
          <cell r="B297">
            <v>20</v>
          </cell>
          <cell r="C297" t="str">
            <v>CUMING</v>
          </cell>
          <cell r="D297" t="str">
            <v>CITY OR VILLAGE</v>
          </cell>
        </row>
        <row r="298">
          <cell r="B298">
            <v>20</v>
          </cell>
          <cell r="C298" t="str">
            <v>CUMING</v>
          </cell>
          <cell r="D298" t="str">
            <v>CITY OR VILLAGE</v>
          </cell>
        </row>
        <row r="299">
          <cell r="B299">
            <v>20</v>
          </cell>
          <cell r="C299" t="str">
            <v>CUMING</v>
          </cell>
          <cell r="D299" t="str">
            <v>CITY OR VILLAGE</v>
          </cell>
        </row>
        <row r="300">
          <cell r="B300">
            <v>20</v>
          </cell>
          <cell r="C300" t="str">
            <v>CUMING</v>
          </cell>
          <cell r="D300" t="str">
            <v>CITY OR VILLAGE</v>
          </cell>
        </row>
        <row r="301">
          <cell r="B301">
            <v>20</v>
          </cell>
          <cell r="C301" t="str">
            <v>CUMING</v>
          </cell>
          <cell r="D301" t="str">
            <v>CITY OR VILLAGE</v>
          </cell>
        </row>
        <row r="302">
          <cell r="B302">
            <v>20</v>
          </cell>
          <cell r="C302" t="str">
            <v>CUMING</v>
          </cell>
          <cell r="D302" t="str">
            <v>CITY OR VILLAGE</v>
          </cell>
        </row>
        <row r="303">
          <cell r="B303">
            <v>21</v>
          </cell>
          <cell r="C303" t="str">
            <v>CUSTER</v>
          </cell>
          <cell r="D303" t="str">
            <v>CITY OR VILLAGE</v>
          </cell>
          <cell r="E303">
            <v>145</v>
          </cell>
          <cell r="F303" t="str">
            <v>ANSELMO</v>
          </cell>
          <cell r="G303">
            <v>507134</v>
          </cell>
          <cell r="H303">
            <v>340518</v>
          </cell>
          <cell r="I303">
            <v>1648802</v>
          </cell>
          <cell r="J303">
            <v>3019618</v>
          </cell>
          <cell r="K303">
            <v>1115141</v>
          </cell>
          <cell r="L303">
            <v>0</v>
          </cell>
          <cell r="M303">
            <v>0</v>
          </cell>
          <cell r="N303">
            <v>4290</v>
          </cell>
          <cell r="O303">
            <v>0</v>
          </cell>
          <cell r="P303">
            <v>0</v>
          </cell>
          <cell r="Q303">
            <v>0</v>
          </cell>
          <cell r="R303">
            <v>6635503</v>
          </cell>
        </row>
        <row r="304">
          <cell r="B304">
            <v>21</v>
          </cell>
          <cell r="C304" t="str">
            <v>CUSTER</v>
          </cell>
          <cell r="D304" t="str">
            <v>CITY OR VILLAGE</v>
          </cell>
          <cell r="E304">
            <v>441</v>
          </cell>
          <cell r="F304" t="str">
            <v>ANSLEY</v>
          </cell>
          <cell r="G304">
            <v>641850</v>
          </cell>
          <cell r="H304">
            <v>908155</v>
          </cell>
          <cell r="I304">
            <v>2421251</v>
          </cell>
          <cell r="J304">
            <v>12169524</v>
          </cell>
          <cell r="K304">
            <v>3334312</v>
          </cell>
          <cell r="L304">
            <v>0</v>
          </cell>
          <cell r="M304">
            <v>0</v>
          </cell>
          <cell r="N304">
            <v>8726</v>
          </cell>
          <cell r="O304">
            <v>0</v>
          </cell>
          <cell r="P304">
            <v>7914</v>
          </cell>
          <cell r="Q304">
            <v>0</v>
          </cell>
          <cell r="R304">
            <v>19491732</v>
          </cell>
        </row>
        <row r="305">
          <cell r="B305">
            <v>21</v>
          </cell>
          <cell r="C305" t="str">
            <v>CUSTER</v>
          </cell>
          <cell r="D305" t="str">
            <v>CITY OR VILLAGE</v>
          </cell>
          <cell r="E305">
            <v>597</v>
          </cell>
          <cell r="F305" t="str">
            <v>ARNOLD</v>
          </cell>
          <cell r="G305">
            <v>629740</v>
          </cell>
          <cell r="H305">
            <v>1079868</v>
          </cell>
          <cell r="I305">
            <v>219024</v>
          </cell>
          <cell r="J305">
            <v>20919900</v>
          </cell>
          <cell r="K305">
            <v>2940668</v>
          </cell>
          <cell r="L305">
            <v>0</v>
          </cell>
          <cell r="M305">
            <v>0</v>
          </cell>
          <cell r="N305">
            <v>44530</v>
          </cell>
          <cell r="O305">
            <v>0</v>
          </cell>
          <cell r="P305">
            <v>2812</v>
          </cell>
          <cell r="Q305">
            <v>0</v>
          </cell>
          <cell r="R305">
            <v>25836542</v>
          </cell>
        </row>
        <row r="306">
          <cell r="B306">
            <v>21</v>
          </cell>
          <cell r="C306" t="str">
            <v>CUSTER</v>
          </cell>
          <cell r="D306" t="str">
            <v>CITY OR VILLAGE</v>
          </cell>
          <cell r="E306">
            <v>83</v>
          </cell>
          <cell r="F306" t="str">
            <v>BERWYN</v>
          </cell>
          <cell r="G306">
            <v>11423</v>
          </cell>
          <cell r="H306">
            <v>309447</v>
          </cell>
          <cell r="I306">
            <v>1246306</v>
          </cell>
          <cell r="J306">
            <v>2234961</v>
          </cell>
          <cell r="K306">
            <v>191210</v>
          </cell>
          <cell r="L306">
            <v>0</v>
          </cell>
          <cell r="M306">
            <v>0</v>
          </cell>
          <cell r="N306">
            <v>59475</v>
          </cell>
          <cell r="O306">
            <v>54514</v>
          </cell>
          <cell r="P306">
            <v>4027</v>
          </cell>
          <cell r="Q306">
            <v>0</v>
          </cell>
          <cell r="R306">
            <v>4111363</v>
          </cell>
        </row>
        <row r="307">
          <cell r="B307">
            <v>21</v>
          </cell>
          <cell r="C307" t="str">
            <v>CUSTER</v>
          </cell>
          <cell r="D307" t="str">
            <v>CITY OR VILLAGE</v>
          </cell>
          <cell r="E307">
            <v>3559</v>
          </cell>
          <cell r="F307" t="str">
            <v>BROKEN BOW</v>
          </cell>
          <cell r="G307">
            <v>6663417</v>
          </cell>
          <cell r="H307">
            <v>2386926</v>
          </cell>
          <cell r="I307">
            <v>3237640</v>
          </cell>
          <cell r="J307">
            <v>136998393</v>
          </cell>
          <cell r="K307">
            <v>62316652</v>
          </cell>
          <cell r="L307">
            <v>421669</v>
          </cell>
          <cell r="M307">
            <v>0</v>
          </cell>
          <cell r="N307">
            <v>67426</v>
          </cell>
          <cell r="O307">
            <v>0</v>
          </cell>
          <cell r="P307">
            <v>0</v>
          </cell>
          <cell r="Q307">
            <v>0</v>
          </cell>
          <cell r="R307">
            <v>212092123</v>
          </cell>
        </row>
        <row r="308">
          <cell r="B308">
            <v>21</v>
          </cell>
          <cell r="C308" t="str">
            <v>CUSTER</v>
          </cell>
          <cell r="D308" t="str">
            <v>CITY OR VILLAGE</v>
          </cell>
          <cell r="E308">
            <v>574</v>
          </cell>
          <cell r="F308" t="str">
            <v>CALLAWAY</v>
          </cell>
          <cell r="G308">
            <v>1541646</v>
          </cell>
          <cell r="H308">
            <v>440310</v>
          </cell>
          <cell r="I308">
            <v>114133</v>
          </cell>
          <cell r="J308">
            <v>24887229</v>
          </cell>
          <cell r="K308">
            <v>7499362</v>
          </cell>
          <cell r="L308">
            <v>0</v>
          </cell>
          <cell r="M308">
            <v>0</v>
          </cell>
          <cell r="N308">
            <v>118942</v>
          </cell>
          <cell r="O308">
            <v>0</v>
          </cell>
          <cell r="P308">
            <v>2728</v>
          </cell>
          <cell r="Q308">
            <v>0</v>
          </cell>
          <cell r="R308">
            <v>34604350</v>
          </cell>
        </row>
        <row r="309">
          <cell r="B309">
            <v>21</v>
          </cell>
          <cell r="C309" t="str">
            <v>CUSTER</v>
          </cell>
          <cell r="D309" t="str">
            <v>CITY OR VILLAGE</v>
          </cell>
          <cell r="E309">
            <v>93</v>
          </cell>
          <cell r="F309" t="str">
            <v>COMSTOCK</v>
          </cell>
          <cell r="G309">
            <v>3058</v>
          </cell>
          <cell r="H309">
            <v>109018</v>
          </cell>
          <cell r="I309">
            <v>8068</v>
          </cell>
          <cell r="J309">
            <v>2444468</v>
          </cell>
          <cell r="K309">
            <v>209421</v>
          </cell>
          <cell r="L309">
            <v>0</v>
          </cell>
          <cell r="M309">
            <v>0</v>
          </cell>
          <cell r="N309">
            <v>8740</v>
          </cell>
          <cell r="O309">
            <v>0</v>
          </cell>
          <cell r="P309">
            <v>0</v>
          </cell>
          <cell r="Q309">
            <v>0</v>
          </cell>
          <cell r="R309">
            <v>2782773</v>
          </cell>
        </row>
        <row r="310">
          <cell r="B310">
            <v>21</v>
          </cell>
          <cell r="C310" t="str">
            <v>CUSTER</v>
          </cell>
          <cell r="D310" t="str">
            <v>CITY OR VILLAGE</v>
          </cell>
          <cell r="E310">
            <v>171</v>
          </cell>
          <cell r="F310" t="str">
            <v>MASON CITY</v>
          </cell>
          <cell r="G310">
            <v>153823</v>
          </cell>
          <cell r="H310">
            <v>447687</v>
          </cell>
          <cell r="I310">
            <v>1753836</v>
          </cell>
          <cell r="J310">
            <v>3538614</v>
          </cell>
          <cell r="K310">
            <v>311739</v>
          </cell>
          <cell r="L310">
            <v>0</v>
          </cell>
          <cell r="M310">
            <v>0</v>
          </cell>
          <cell r="N310">
            <v>53440</v>
          </cell>
          <cell r="O310">
            <v>54630</v>
          </cell>
          <cell r="P310">
            <v>56985</v>
          </cell>
          <cell r="Q310">
            <v>0</v>
          </cell>
          <cell r="R310">
            <v>6370754</v>
          </cell>
        </row>
        <row r="311">
          <cell r="B311">
            <v>21</v>
          </cell>
          <cell r="C311" t="str">
            <v>CUSTER</v>
          </cell>
          <cell r="D311" t="str">
            <v>CITY OR VILLAGE</v>
          </cell>
          <cell r="E311">
            <v>363</v>
          </cell>
          <cell r="F311" t="str">
            <v>MERNA</v>
          </cell>
          <cell r="G311">
            <v>493360</v>
          </cell>
          <cell r="H311">
            <v>350123</v>
          </cell>
          <cell r="I311">
            <v>1380609</v>
          </cell>
          <cell r="J311">
            <v>11941589</v>
          </cell>
          <cell r="K311">
            <v>2548018</v>
          </cell>
          <cell r="L311">
            <v>0</v>
          </cell>
          <cell r="M311">
            <v>0</v>
          </cell>
          <cell r="N311">
            <v>328034</v>
          </cell>
          <cell r="O311">
            <v>0</v>
          </cell>
          <cell r="P311">
            <v>178228</v>
          </cell>
          <cell r="Q311">
            <v>0</v>
          </cell>
          <cell r="R311">
            <v>17219961</v>
          </cell>
        </row>
        <row r="312">
          <cell r="B312">
            <v>21</v>
          </cell>
          <cell r="C312" t="str">
            <v>CUSTER</v>
          </cell>
          <cell r="D312" t="str">
            <v>CITY OR VILLAGE</v>
          </cell>
          <cell r="E312">
            <v>151</v>
          </cell>
          <cell r="F312" t="str">
            <v>OCONTO</v>
          </cell>
          <cell r="G312">
            <v>71582</v>
          </cell>
          <cell r="H312">
            <v>255766</v>
          </cell>
          <cell r="I312">
            <v>56640</v>
          </cell>
          <cell r="J312">
            <v>3162794</v>
          </cell>
          <cell r="K312">
            <v>358197</v>
          </cell>
          <cell r="L312">
            <v>0</v>
          </cell>
          <cell r="M312">
            <v>0</v>
          </cell>
          <cell r="N312">
            <v>11107</v>
          </cell>
          <cell r="O312">
            <v>0</v>
          </cell>
          <cell r="P312">
            <v>44514</v>
          </cell>
          <cell r="Q312">
            <v>0</v>
          </cell>
          <cell r="R312">
            <v>3960600</v>
          </cell>
        </row>
        <row r="313">
          <cell r="B313">
            <v>21</v>
          </cell>
          <cell r="C313" t="str">
            <v>CUSTER</v>
          </cell>
          <cell r="D313" t="str">
            <v>CITY OR VILLAGE</v>
          </cell>
          <cell r="E313">
            <v>525</v>
          </cell>
          <cell r="F313" t="str">
            <v>SARGENT</v>
          </cell>
          <cell r="G313">
            <v>597338</v>
          </cell>
          <cell r="H313">
            <v>413032</v>
          </cell>
          <cell r="I313">
            <v>38636</v>
          </cell>
          <cell r="J313">
            <v>13098680</v>
          </cell>
          <cell r="K313">
            <v>6223745</v>
          </cell>
          <cell r="L313">
            <v>0</v>
          </cell>
          <cell r="M313">
            <v>0</v>
          </cell>
          <cell r="N313">
            <v>460268</v>
          </cell>
          <cell r="O313">
            <v>0</v>
          </cell>
          <cell r="P313">
            <v>0</v>
          </cell>
          <cell r="Q313">
            <v>0</v>
          </cell>
          <cell r="R313">
            <v>20831699</v>
          </cell>
        </row>
        <row r="314">
          <cell r="B314">
            <v>21</v>
          </cell>
          <cell r="C314" t="str">
            <v>CUSTER</v>
          </cell>
          <cell r="D314" t="str">
            <v>CITY OR VILLAGE</v>
          </cell>
        </row>
        <row r="315">
          <cell r="B315">
            <v>21</v>
          </cell>
          <cell r="C315" t="str">
            <v>CUSTER</v>
          </cell>
          <cell r="D315" t="str">
            <v>CITY OR VILLAGE</v>
          </cell>
        </row>
        <row r="316">
          <cell r="B316">
            <v>21</v>
          </cell>
          <cell r="C316" t="str">
            <v>CUSTER</v>
          </cell>
          <cell r="D316" t="str">
            <v>CITY OR VILLAGE</v>
          </cell>
        </row>
        <row r="317">
          <cell r="B317">
            <v>21</v>
          </cell>
          <cell r="C317" t="str">
            <v>CUSTER</v>
          </cell>
          <cell r="D317" t="str">
            <v>CITY OR VILLAGE</v>
          </cell>
        </row>
        <row r="318">
          <cell r="B318">
            <v>22</v>
          </cell>
          <cell r="C318" t="str">
            <v>DAKOTA</v>
          </cell>
          <cell r="D318" t="str">
            <v>CITY OR VILLAGE</v>
          </cell>
          <cell r="E318">
            <v>1919</v>
          </cell>
          <cell r="F318" t="str">
            <v>DAKOTA CITY</v>
          </cell>
          <cell r="G318">
            <v>1307932</v>
          </cell>
          <cell r="H318">
            <v>654038</v>
          </cell>
          <cell r="I318">
            <v>1096297</v>
          </cell>
          <cell r="J318">
            <v>78088350</v>
          </cell>
          <cell r="K318">
            <v>10691345</v>
          </cell>
          <cell r="L318">
            <v>4905245</v>
          </cell>
          <cell r="M318">
            <v>0</v>
          </cell>
          <cell r="N318">
            <v>1119365</v>
          </cell>
          <cell r="O318">
            <v>0</v>
          </cell>
          <cell r="P318">
            <v>0</v>
          </cell>
          <cell r="Q318">
            <v>0</v>
          </cell>
          <cell r="R318">
            <v>97862572</v>
          </cell>
        </row>
        <row r="319">
          <cell r="B319">
            <v>22</v>
          </cell>
          <cell r="C319" t="str">
            <v>DAKOTA</v>
          </cell>
          <cell r="D319" t="str">
            <v>CITY OR VILLAGE</v>
          </cell>
          <cell r="E319">
            <v>840</v>
          </cell>
          <cell r="F319" t="str">
            <v>EMERSON</v>
          </cell>
          <cell r="G319">
            <v>50037</v>
          </cell>
          <cell r="H319">
            <v>101540</v>
          </cell>
          <cell r="I319">
            <v>14307</v>
          </cell>
          <cell r="J319">
            <v>9647315</v>
          </cell>
          <cell r="K319">
            <v>1722400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11535599</v>
          </cell>
        </row>
        <row r="320">
          <cell r="B320">
            <v>22</v>
          </cell>
          <cell r="C320" t="str">
            <v>DAKOTA</v>
          </cell>
          <cell r="D320" t="str">
            <v>CITY OR VILLAGE</v>
          </cell>
          <cell r="E320">
            <v>549</v>
          </cell>
          <cell r="F320" t="str">
            <v>HOMER</v>
          </cell>
          <cell r="G320">
            <v>241880</v>
          </cell>
          <cell r="H320">
            <v>321728</v>
          </cell>
          <cell r="I320">
            <v>612405</v>
          </cell>
          <cell r="J320">
            <v>22223570</v>
          </cell>
          <cell r="K320">
            <v>2255435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25655018</v>
          </cell>
        </row>
        <row r="321">
          <cell r="B321">
            <v>22</v>
          </cell>
          <cell r="C321" t="str">
            <v>DAKOTA</v>
          </cell>
          <cell r="D321" t="str">
            <v>CITY OR VILLAGE</v>
          </cell>
          <cell r="E321">
            <v>236</v>
          </cell>
          <cell r="F321" t="str">
            <v>HUBBARD</v>
          </cell>
          <cell r="G321">
            <v>214215</v>
          </cell>
          <cell r="H321">
            <v>0</v>
          </cell>
          <cell r="I321">
            <v>0</v>
          </cell>
          <cell r="J321">
            <v>6748735</v>
          </cell>
          <cell r="K321">
            <v>1101665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8064615</v>
          </cell>
        </row>
        <row r="322">
          <cell r="B322">
            <v>22</v>
          </cell>
          <cell r="C322" t="str">
            <v>DAKOTA</v>
          </cell>
          <cell r="D322" t="str">
            <v>CITY OR VILLAGE</v>
          </cell>
          <cell r="E322">
            <v>223</v>
          </cell>
          <cell r="F322" t="str">
            <v>JACKSON</v>
          </cell>
          <cell r="G322">
            <v>11059258</v>
          </cell>
          <cell r="H322">
            <v>93946</v>
          </cell>
          <cell r="I322">
            <v>23282</v>
          </cell>
          <cell r="J322">
            <v>12187405</v>
          </cell>
          <cell r="K322">
            <v>2505025</v>
          </cell>
          <cell r="L322">
            <v>181330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26050246</v>
          </cell>
        </row>
        <row r="323">
          <cell r="B323">
            <v>22</v>
          </cell>
          <cell r="C323" t="str">
            <v>DAKOTA</v>
          </cell>
          <cell r="D323" t="str">
            <v>CITY OR VILLAGE</v>
          </cell>
          <cell r="E323">
            <v>13353</v>
          </cell>
          <cell r="F323" t="str">
            <v>SOUTH SIOUX CITY</v>
          </cell>
          <cell r="G323">
            <v>34494377</v>
          </cell>
          <cell r="H323">
            <v>12318991</v>
          </cell>
          <cell r="I323">
            <v>8025518</v>
          </cell>
          <cell r="J323">
            <v>392625075</v>
          </cell>
          <cell r="K323">
            <v>238088924</v>
          </cell>
          <cell r="L323">
            <v>53434685</v>
          </cell>
          <cell r="M323">
            <v>0</v>
          </cell>
          <cell r="N323">
            <v>780530</v>
          </cell>
          <cell r="O323">
            <v>19095</v>
          </cell>
          <cell r="P323">
            <v>28105</v>
          </cell>
          <cell r="Q323">
            <v>0</v>
          </cell>
          <cell r="R323">
            <v>739815300</v>
          </cell>
        </row>
        <row r="324">
          <cell r="B324">
            <v>22</v>
          </cell>
          <cell r="C324" t="str">
            <v>DAKOTA</v>
          </cell>
          <cell r="D324" t="str">
            <v>CITY OR VILLAGE</v>
          </cell>
        </row>
        <row r="325">
          <cell r="B325">
            <v>22</v>
          </cell>
          <cell r="C325" t="str">
            <v>DAKOTA</v>
          </cell>
          <cell r="D325" t="str">
            <v>CITY OR VILLAGE</v>
          </cell>
        </row>
        <row r="326">
          <cell r="B326">
            <v>22</v>
          </cell>
          <cell r="C326" t="str">
            <v>DAKOTA</v>
          </cell>
          <cell r="D326" t="str">
            <v>CITY OR VILLAGE</v>
          </cell>
        </row>
        <row r="327">
          <cell r="B327">
            <v>22</v>
          </cell>
          <cell r="C327" t="str">
            <v>DAKOTA</v>
          </cell>
          <cell r="D327" t="str">
            <v>CITY OR VILLAGE</v>
          </cell>
        </row>
        <row r="328">
          <cell r="B328">
            <v>22</v>
          </cell>
          <cell r="C328" t="str">
            <v>DAKOTA</v>
          </cell>
          <cell r="D328" t="str">
            <v>CITY OR VILLAGE</v>
          </cell>
        </row>
        <row r="329">
          <cell r="B329">
            <v>22</v>
          </cell>
          <cell r="C329" t="str">
            <v>DAKOTA</v>
          </cell>
          <cell r="D329" t="str">
            <v>CITY OR VILLAGE</v>
          </cell>
        </row>
        <row r="330">
          <cell r="B330">
            <v>22</v>
          </cell>
          <cell r="C330" t="str">
            <v>DAKOTA</v>
          </cell>
          <cell r="D330" t="str">
            <v>CITY OR VILLAGE</v>
          </cell>
        </row>
        <row r="331">
          <cell r="B331">
            <v>22</v>
          </cell>
          <cell r="C331" t="str">
            <v>DAKOTA</v>
          </cell>
          <cell r="D331" t="str">
            <v>CITY OR VILLAGE</v>
          </cell>
        </row>
        <row r="332">
          <cell r="B332">
            <v>22</v>
          </cell>
          <cell r="C332" t="str">
            <v>DAKOTA</v>
          </cell>
          <cell r="D332" t="str">
            <v>CITY OR VILLAGE</v>
          </cell>
        </row>
        <row r="333">
          <cell r="B333">
            <v>23</v>
          </cell>
          <cell r="C333" t="str">
            <v>DAWES</v>
          </cell>
          <cell r="D333" t="str">
            <v>CITY OR VILLAGE</v>
          </cell>
          <cell r="E333">
            <v>5851</v>
          </cell>
          <cell r="F333" t="str">
            <v>CHADRON</v>
          </cell>
          <cell r="G333">
            <v>7308708</v>
          </cell>
          <cell r="H333">
            <v>3074305</v>
          </cell>
          <cell r="I333">
            <v>893010</v>
          </cell>
          <cell r="J333">
            <v>168687810</v>
          </cell>
          <cell r="K333">
            <v>83189158</v>
          </cell>
          <cell r="L333">
            <v>252840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263405831</v>
          </cell>
        </row>
        <row r="334">
          <cell r="B334">
            <v>23</v>
          </cell>
          <cell r="C334" t="str">
            <v>DAWES</v>
          </cell>
          <cell r="D334" t="str">
            <v>CITY OR VILLAGE</v>
          </cell>
          <cell r="E334">
            <v>997</v>
          </cell>
          <cell r="F334" t="str">
            <v>CRAWFORD</v>
          </cell>
          <cell r="G334">
            <v>946053</v>
          </cell>
          <cell r="H334">
            <v>1171890</v>
          </cell>
          <cell r="I334">
            <v>3463365</v>
          </cell>
          <cell r="J334">
            <v>22612910</v>
          </cell>
          <cell r="K334">
            <v>7157145</v>
          </cell>
          <cell r="L334">
            <v>55115</v>
          </cell>
          <cell r="M334">
            <v>0</v>
          </cell>
          <cell r="N334">
            <v>41915</v>
          </cell>
          <cell r="O334">
            <v>0</v>
          </cell>
          <cell r="P334">
            <v>0</v>
          </cell>
          <cell r="Q334">
            <v>0</v>
          </cell>
          <cell r="R334">
            <v>35448393</v>
          </cell>
        </row>
        <row r="335">
          <cell r="B335">
            <v>23</v>
          </cell>
          <cell r="C335" t="str">
            <v>DAWES</v>
          </cell>
          <cell r="D335" t="str">
            <v>CITY OR VILLAGE</v>
          </cell>
          <cell r="E335">
            <v>77</v>
          </cell>
          <cell r="F335" t="str">
            <v>WHITNEY</v>
          </cell>
          <cell r="G335">
            <v>6828</v>
          </cell>
          <cell r="H335">
            <v>64432</v>
          </cell>
          <cell r="I335">
            <v>109531</v>
          </cell>
          <cell r="J335">
            <v>1833660</v>
          </cell>
          <cell r="K335">
            <v>356485</v>
          </cell>
          <cell r="L335">
            <v>0</v>
          </cell>
          <cell r="M335">
            <v>0</v>
          </cell>
          <cell r="N335">
            <v>29465</v>
          </cell>
          <cell r="O335">
            <v>0</v>
          </cell>
          <cell r="P335">
            <v>0</v>
          </cell>
          <cell r="Q335">
            <v>0</v>
          </cell>
          <cell r="R335">
            <v>2400401</v>
          </cell>
        </row>
        <row r="336">
          <cell r="B336">
            <v>23</v>
          </cell>
          <cell r="C336" t="str">
            <v>DAWES</v>
          </cell>
          <cell r="D336" t="str">
            <v>CITY OR VILLAGE</v>
          </cell>
        </row>
        <row r="337">
          <cell r="B337">
            <v>23</v>
          </cell>
          <cell r="C337" t="str">
            <v>DAWES</v>
          </cell>
          <cell r="D337" t="str">
            <v>CITY OR VILLAGE</v>
          </cell>
        </row>
        <row r="338">
          <cell r="B338">
            <v>23</v>
          </cell>
          <cell r="C338" t="str">
            <v>DAWES</v>
          </cell>
          <cell r="D338" t="str">
            <v>CITY OR VILLAGE</v>
          </cell>
        </row>
        <row r="339">
          <cell r="B339">
            <v>23</v>
          </cell>
          <cell r="C339" t="str">
            <v>DAWES</v>
          </cell>
          <cell r="D339" t="str">
            <v>CITY OR VILLAGE</v>
          </cell>
        </row>
        <row r="340">
          <cell r="B340">
            <v>23</v>
          </cell>
          <cell r="C340" t="str">
            <v>DAWES</v>
          </cell>
          <cell r="D340" t="str">
            <v>CITY OR VILLAGE</v>
          </cell>
        </row>
        <row r="341">
          <cell r="B341">
            <v>23</v>
          </cell>
          <cell r="C341" t="str">
            <v>DAWES</v>
          </cell>
          <cell r="D341" t="str">
            <v>CITY OR VILLAGE</v>
          </cell>
        </row>
        <row r="342">
          <cell r="B342">
            <v>23</v>
          </cell>
          <cell r="C342" t="str">
            <v>DAWES</v>
          </cell>
          <cell r="D342" t="str">
            <v>CITY OR VILLAGE</v>
          </cell>
        </row>
        <row r="343">
          <cell r="B343">
            <v>23</v>
          </cell>
          <cell r="C343" t="str">
            <v>DAWES</v>
          </cell>
          <cell r="D343" t="str">
            <v>CITY OR VILLAGE</v>
          </cell>
        </row>
        <row r="344">
          <cell r="B344">
            <v>23</v>
          </cell>
          <cell r="C344" t="str">
            <v>DAWES</v>
          </cell>
          <cell r="D344" t="str">
            <v>CITY OR VILLAGE</v>
          </cell>
        </row>
        <row r="345">
          <cell r="B345">
            <v>23</v>
          </cell>
          <cell r="C345" t="str">
            <v>DAWES</v>
          </cell>
          <cell r="D345" t="str">
            <v>CITY OR VILLAGE</v>
          </cell>
        </row>
        <row r="346">
          <cell r="B346">
            <v>23</v>
          </cell>
          <cell r="C346" t="str">
            <v>DAWES</v>
          </cell>
          <cell r="D346" t="str">
            <v>CITY OR VILLAGE</v>
          </cell>
        </row>
        <row r="347">
          <cell r="B347">
            <v>23</v>
          </cell>
          <cell r="C347" t="str">
            <v>DAWES</v>
          </cell>
          <cell r="D347" t="str">
            <v>CITY OR VILLAGE</v>
          </cell>
        </row>
        <row r="348">
          <cell r="B348">
            <v>24</v>
          </cell>
          <cell r="C348" t="str">
            <v>DAWSON</v>
          </cell>
          <cell r="D348" t="str">
            <v>CITY OR VILLAGE</v>
          </cell>
          <cell r="E348">
            <v>3977</v>
          </cell>
          <cell r="F348" t="str">
            <v>COZAD</v>
          </cell>
          <cell r="G348">
            <v>7511088</v>
          </cell>
          <cell r="H348">
            <v>7627220</v>
          </cell>
          <cell r="I348">
            <v>9453368</v>
          </cell>
          <cell r="J348">
            <v>116889882</v>
          </cell>
          <cell r="K348">
            <v>40439386</v>
          </cell>
          <cell r="L348">
            <v>2056959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183977903</v>
          </cell>
        </row>
        <row r="349">
          <cell r="B349">
            <v>24</v>
          </cell>
          <cell r="C349" t="str">
            <v>DAWSON</v>
          </cell>
          <cell r="D349" t="str">
            <v>CITY OR VILLAGE</v>
          </cell>
          <cell r="E349">
            <v>97</v>
          </cell>
          <cell r="F349" t="str">
            <v>EDDYVILLE</v>
          </cell>
          <cell r="G349">
            <v>8066</v>
          </cell>
          <cell r="H349">
            <v>7074</v>
          </cell>
          <cell r="I349">
            <v>1567</v>
          </cell>
          <cell r="J349">
            <v>1969766</v>
          </cell>
          <cell r="K349">
            <v>273481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2259954</v>
          </cell>
        </row>
        <row r="350">
          <cell r="B350">
            <v>24</v>
          </cell>
          <cell r="C350" t="str">
            <v>DAWSON</v>
          </cell>
          <cell r="D350" t="str">
            <v>CITY OR VILLAGE</v>
          </cell>
          <cell r="E350">
            <v>171</v>
          </cell>
          <cell r="F350" t="str">
            <v>FARNAM</v>
          </cell>
          <cell r="G350">
            <v>307864</v>
          </cell>
          <cell r="H350">
            <v>157333</v>
          </cell>
          <cell r="I350">
            <v>36941</v>
          </cell>
          <cell r="J350">
            <v>4559628</v>
          </cell>
          <cell r="K350">
            <v>1114925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6176691</v>
          </cell>
        </row>
        <row r="351">
          <cell r="B351">
            <v>24</v>
          </cell>
          <cell r="C351" t="str">
            <v>DAWSON</v>
          </cell>
          <cell r="D351" t="str">
            <v>CITY OR VILLAGE</v>
          </cell>
          <cell r="E351">
            <v>3574</v>
          </cell>
          <cell r="F351" t="str">
            <v>GOTHENBURG</v>
          </cell>
          <cell r="G351">
            <v>8962661</v>
          </cell>
          <cell r="H351">
            <v>3306413</v>
          </cell>
          <cell r="I351">
            <v>5325845</v>
          </cell>
          <cell r="J351">
            <v>157642826</v>
          </cell>
          <cell r="K351">
            <v>47699005</v>
          </cell>
          <cell r="L351">
            <v>15648761</v>
          </cell>
          <cell r="M351">
            <v>0</v>
          </cell>
          <cell r="N351">
            <v>365635</v>
          </cell>
          <cell r="O351">
            <v>0</v>
          </cell>
          <cell r="P351">
            <v>7338</v>
          </cell>
          <cell r="Q351">
            <v>0</v>
          </cell>
          <cell r="R351">
            <v>238958484</v>
          </cell>
        </row>
        <row r="352">
          <cell r="B352">
            <v>24</v>
          </cell>
          <cell r="C352" t="str">
            <v>DAWSON</v>
          </cell>
          <cell r="D352" t="str">
            <v>CITY OR VILLAGE</v>
          </cell>
          <cell r="E352">
            <v>10250</v>
          </cell>
          <cell r="F352" t="str">
            <v>LEXINGTON</v>
          </cell>
          <cell r="G352">
            <v>24866156</v>
          </cell>
          <cell r="H352">
            <v>5752546</v>
          </cell>
          <cell r="I352">
            <v>7658435</v>
          </cell>
          <cell r="J352">
            <v>243981630</v>
          </cell>
          <cell r="K352">
            <v>103600034</v>
          </cell>
          <cell r="L352">
            <v>18544834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404403635</v>
          </cell>
        </row>
        <row r="353">
          <cell r="B353">
            <v>24</v>
          </cell>
          <cell r="C353" t="str">
            <v>DAWSON</v>
          </cell>
          <cell r="D353" t="str">
            <v>CITY OR VILLAGE</v>
          </cell>
          <cell r="E353">
            <v>594</v>
          </cell>
          <cell r="F353" t="str">
            <v>OVERTON</v>
          </cell>
          <cell r="G353">
            <v>130114</v>
          </cell>
          <cell r="H353">
            <v>952545</v>
          </cell>
          <cell r="I353">
            <v>2802997</v>
          </cell>
          <cell r="J353">
            <v>15768331</v>
          </cell>
          <cell r="K353">
            <v>3286456</v>
          </cell>
          <cell r="L353">
            <v>67902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23008345</v>
          </cell>
        </row>
        <row r="354">
          <cell r="B354">
            <v>24</v>
          </cell>
          <cell r="C354" t="str">
            <v>DAWSON</v>
          </cell>
          <cell r="D354" t="str">
            <v>CITY OR VILLAGE</v>
          </cell>
          <cell r="E354">
            <v>236</v>
          </cell>
          <cell r="F354" t="str">
            <v>SUMNER</v>
          </cell>
          <cell r="G354">
            <v>163883</v>
          </cell>
          <cell r="H354">
            <v>48001</v>
          </cell>
          <cell r="I354">
            <v>4926</v>
          </cell>
          <cell r="J354">
            <v>6399308</v>
          </cell>
          <cell r="K354">
            <v>797514</v>
          </cell>
          <cell r="L354">
            <v>0</v>
          </cell>
          <cell r="M354">
            <v>1780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7415412</v>
          </cell>
        </row>
        <row r="355">
          <cell r="B355">
            <v>24</v>
          </cell>
          <cell r="C355" t="str">
            <v>DAWSON</v>
          </cell>
          <cell r="D355" t="str">
            <v>CITY OR VILLAGE</v>
          </cell>
        </row>
        <row r="356">
          <cell r="B356">
            <v>24</v>
          </cell>
          <cell r="C356" t="str">
            <v>DAWSON</v>
          </cell>
          <cell r="D356" t="str">
            <v>CITY OR VILLAGE</v>
          </cell>
        </row>
        <row r="357">
          <cell r="B357">
            <v>24</v>
          </cell>
          <cell r="C357" t="str">
            <v>DAWSON</v>
          </cell>
          <cell r="D357" t="str">
            <v>CITY OR VILLAGE</v>
          </cell>
        </row>
        <row r="358">
          <cell r="B358">
            <v>24</v>
          </cell>
          <cell r="C358" t="str">
            <v>DAWSON</v>
          </cell>
          <cell r="D358" t="str">
            <v>CITY OR VILLAGE</v>
          </cell>
        </row>
        <row r="359">
          <cell r="B359">
            <v>24</v>
          </cell>
          <cell r="C359" t="str">
            <v>DAWSON</v>
          </cell>
          <cell r="D359" t="str">
            <v>CITY OR VILLAGE</v>
          </cell>
        </row>
        <row r="360">
          <cell r="B360">
            <v>24</v>
          </cell>
          <cell r="C360" t="str">
            <v>DAWSON</v>
          </cell>
          <cell r="D360" t="str">
            <v>CITY OR VILLAGE</v>
          </cell>
        </row>
        <row r="361">
          <cell r="B361">
            <v>24</v>
          </cell>
          <cell r="C361" t="str">
            <v>DAWSON</v>
          </cell>
          <cell r="D361" t="str">
            <v>CITY OR VILLAGE</v>
          </cell>
        </row>
        <row r="362">
          <cell r="B362">
            <v>24</v>
          </cell>
          <cell r="C362" t="str">
            <v>DAWSON</v>
          </cell>
          <cell r="D362" t="str">
            <v>CITY OR VILLAGE</v>
          </cell>
        </row>
        <row r="363">
          <cell r="B363">
            <v>25</v>
          </cell>
          <cell r="C363" t="str">
            <v>DEUEL</v>
          </cell>
          <cell r="D363" t="str">
            <v>CITY OR VILLAGE</v>
          </cell>
          <cell r="E363">
            <v>400</v>
          </cell>
          <cell r="F363" t="str">
            <v>BIG SPRINGS</v>
          </cell>
          <cell r="G363">
            <v>504270</v>
          </cell>
          <cell r="H363">
            <v>592275</v>
          </cell>
          <cell r="I363">
            <v>2646025</v>
          </cell>
          <cell r="J363">
            <v>10524311</v>
          </cell>
          <cell r="K363">
            <v>10206873</v>
          </cell>
          <cell r="L363">
            <v>0</v>
          </cell>
          <cell r="M363">
            <v>0</v>
          </cell>
          <cell r="N363">
            <v>6020</v>
          </cell>
          <cell r="O363">
            <v>0</v>
          </cell>
          <cell r="P363">
            <v>0</v>
          </cell>
          <cell r="Q363">
            <v>0</v>
          </cell>
          <cell r="R363">
            <v>24479774</v>
          </cell>
        </row>
        <row r="364">
          <cell r="B364">
            <v>25</v>
          </cell>
          <cell r="C364" t="str">
            <v>DEUEL</v>
          </cell>
          <cell r="D364" t="str">
            <v>CITY OR VILLAGE</v>
          </cell>
          <cell r="E364">
            <v>929</v>
          </cell>
          <cell r="F364" t="str">
            <v>CHAPPELL</v>
          </cell>
          <cell r="G364">
            <v>701350</v>
          </cell>
          <cell r="H364">
            <v>567891</v>
          </cell>
          <cell r="I364">
            <v>820804</v>
          </cell>
          <cell r="J364">
            <v>28108065</v>
          </cell>
          <cell r="K364">
            <v>5462820</v>
          </cell>
          <cell r="L364">
            <v>0</v>
          </cell>
          <cell r="M364">
            <v>0</v>
          </cell>
          <cell r="N364">
            <v>8155</v>
          </cell>
          <cell r="O364">
            <v>113340</v>
          </cell>
          <cell r="P364">
            <v>11985</v>
          </cell>
          <cell r="Q364">
            <v>0</v>
          </cell>
          <cell r="R364">
            <v>35794410</v>
          </cell>
        </row>
        <row r="365">
          <cell r="B365">
            <v>25</v>
          </cell>
          <cell r="C365" t="str">
            <v>DEUEL</v>
          </cell>
          <cell r="D365" t="str">
            <v>CITY OR VILLAGE</v>
          </cell>
        </row>
        <row r="366">
          <cell r="B366">
            <v>25</v>
          </cell>
          <cell r="C366" t="str">
            <v>DEUEL</v>
          </cell>
          <cell r="D366" t="str">
            <v>CITY OR VILLAGE</v>
          </cell>
        </row>
        <row r="367">
          <cell r="B367">
            <v>25</v>
          </cell>
          <cell r="C367" t="str">
            <v>DEUEL</v>
          </cell>
          <cell r="D367" t="str">
            <v>CITY OR VILLAGE</v>
          </cell>
        </row>
        <row r="368">
          <cell r="B368">
            <v>25</v>
          </cell>
          <cell r="C368" t="str">
            <v>DEUEL</v>
          </cell>
          <cell r="D368" t="str">
            <v>CITY OR VILLAGE</v>
          </cell>
        </row>
        <row r="369">
          <cell r="B369">
            <v>25</v>
          </cell>
          <cell r="C369" t="str">
            <v>DEUEL</v>
          </cell>
          <cell r="D369" t="str">
            <v>CITY OR VILLAGE</v>
          </cell>
        </row>
        <row r="370">
          <cell r="B370">
            <v>25</v>
          </cell>
          <cell r="C370" t="str">
            <v>DEUEL</v>
          </cell>
          <cell r="D370" t="str">
            <v>CITY OR VILLAGE</v>
          </cell>
        </row>
        <row r="371">
          <cell r="B371">
            <v>25</v>
          </cell>
          <cell r="C371" t="str">
            <v>DEUEL</v>
          </cell>
          <cell r="D371" t="str">
            <v>CITY OR VILLAGE</v>
          </cell>
        </row>
        <row r="372">
          <cell r="B372">
            <v>25</v>
          </cell>
          <cell r="C372" t="str">
            <v>DEUEL</v>
          </cell>
          <cell r="D372" t="str">
            <v>CITY OR VILLAGE</v>
          </cell>
        </row>
        <row r="373">
          <cell r="B373">
            <v>25</v>
          </cell>
          <cell r="C373" t="str">
            <v>DEUEL</v>
          </cell>
          <cell r="D373" t="str">
            <v>CITY OR VILLAGE</v>
          </cell>
        </row>
        <row r="374">
          <cell r="B374">
            <v>25</v>
          </cell>
          <cell r="C374" t="str">
            <v>DEUEL</v>
          </cell>
          <cell r="D374" t="str">
            <v>CITY OR VILLAGE</v>
          </cell>
        </row>
        <row r="375">
          <cell r="B375">
            <v>25</v>
          </cell>
          <cell r="C375" t="str">
            <v>DEUEL</v>
          </cell>
          <cell r="D375" t="str">
            <v>CITY OR VILLAGE</v>
          </cell>
        </row>
        <row r="376">
          <cell r="B376">
            <v>25</v>
          </cell>
          <cell r="C376" t="str">
            <v>DEUEL</v>
          </cell>
          <cell r="D376" t="str">
            <v>CITY OR VILLAGE</v>
          </cell>
        </row>
        <row r="377">
          <cell r="B377">
            <v>25</v>
          </cell>
          <cell r="C377" t="str">
            <v>DEUEL</v>
          </cell>
          <cell r="D377" t="str">
            <v>CITY OR VILLAGE</v>
          </cell>
        </row>
        <row r="378">
          <cell r="B378">
            <v>26</v>
          </cell>
          <cell r="C378" t="str">
            <v>DIXON</v>
          </cell>
          <cell r="D378" t="str">
            <v>CITY OR VILLAGE</v>
          </cell>
          <cell r="E378">
            <v>377</v>
          </cell>
          <cell r="F378" t="str">
            <v>ALLEN</v>
          </cell>
          <cell r="G378">
            <v>515275</v>
          </cell>
          <cell r="H378">
            <v>101732</v>
          </cell>
          <cell r="I378">
            <v>278205</v>
          </cell>
          <cell r="J378">
            <v>12237485</v>
          </cell>
          <cell r="K378">
            <v>958235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19880</v>
          </cell>
          <cell r="Q378">
            <v>0</v>
          </cell>
          <cell r="R378">
            <v>14110812</v>
          </cell>
        </row>
        <row r="379">
          <cell r="B379">
            <v>26</v>
          </cell>
          <cell r="C379" t="str">
            <v>DIXON</v>
          </cell>
          <cell r="D379" t="str">
            <v>CITY OR VILLAGE</v>
          </cell>
          <cell r="E379">
            <v>166</v>
          </cell>
          <cell r="F379" t="str">
            <v>CONCORD</v>
          </cell>
          <cell r="G379">
            <v>5008</v>
          </cell>
          <cell r="H379">
            <v>0</v>
          </cell>
          <cell r="I379">
            <v>0</v>
          </cell>
          <cell r="J379">
            <v>3377980</v>
          </cell>
          <cell r="K379">
            <v>41565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3424553</v>
          </cell>
        </row>
        <row r="380">
          <cell r="B380">
            <v>26</v>
          </cell>
          <cell r="C380" t="str">
            <v>DIXON</v>
          </cell>
          <cell r="D380" t="str">
            <v>CITY OR VILLAGE</v>
          </cell>
          <cell r="E380">
            <v>87</v>
          </cell>
          <cell r="F380" t="str">
            <v>DIXON</v>
          </cell>
          <cell r="G380">
            <v>121104</v>
          </cell>
          <cell r="H380">
            <v>86211</v>
          </cell>
          <cell r="I380">
            <v>479243</v>
          </cell>
          <cell r="J380">
            <v>1877080</v>
          </cell>
          <cell r="K380">
            <v>1132190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3695828</v>
          </cell>
        </row>
        <row r="381">
          <cell r="B381">
            <v>26</v>
          </cell>
          <cell r="C381" t="str">
            <v>DIXON</v>
          </cell>
          <cell r="D381" t="str">
            <v>CITY OR VILLAGE</v>
          </cell>
          <cell r="E381">
            <v>840</v>
          </cell>
          <cell r="F381" t="str">
            <v>EMERSON</v>
          </cell>
          <cell r="G381">
            <v>115042</v>
          </cell>
          <cell r="H381">
            <v>222970</v>
          </cell>
          <cell r="I381">
            <v>45361</v>
          </cell>
          <cell r="J381">
            <v>9973240</v>
          </cell>
          <cell r="K381">
            <v>1070935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11427548</v>
          </cell>
        </row>
        <row r="382">
          <cell r="B382">
            <v>26</v>
          </cell>
          <cell r="C382" t="str">
            <v>DIXON</v>
          </cell>
          <cell r="D382" t="str">
            <v>CITY OR VILLAGE</v>
          </cell>
          <cell r="E382">
            <v>94</v>
          </cell>
          <cell r="F382" t="str">
            <v>MARTINSBURG</v>
          </cell>
          <cell r="G382">
            <v>145540</v>
          </cell>
          <cell r="H382">
            <v>315</v>
          </cell>
          <cell r="I382">
            <v>136</v>
          </cell>
          <cell r="J382">
            <v>2212400</v>
          </cell>
          <cell r="K382">
            <v>79155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2437546</v>
          </cell>
        </row>
        <row r="383">
          <cell r="B383">
            <v>26</v>
          </cell>
          <cell r="C383" t="str">
            <v>DIXON</v>
          </cell>
          <cell r="D383" t="str">
            <v>CITY OR VILLAGE</v>
          </cell>
          <cell r="E383">
            <v>76</v>
          </cell>
          <cell r="F383" t="str">
            <v>MASKELL</v>
          </cell>
          <cell r="G383">
            <v>76765</v>
          </cell>
          <cell r="H383">
            <v>0</v>
          </cell>
          <cell r="I383">
            <v>0</v>
          </cell>
          <cell r="J383">
            <v>1546665</v>
          </cell>
          <cell r="K383">
            <v>186095</v>
          </cell>
          <cell r="L383">
            <v>0</v>
          </cell>
          <cell r="M383">
            <v>0</v>
          </cell>
          <cell r="N383">
            <v>125550</v>
          </cell>
          <cell r="O383">
            <v>95940</v>
          </cell>
          <cell r="P383">
            <v>3810</v>
          </cell>
          <cell r="Q383">
            <v>0</v>
          </cell>
          <cell r="R383">
            <v>2034825</v>
          </cell>
        </row>
        <row r="384">
          <cell r="B384">
            <v>26</v>
          </cell>
          <cell r="C384" t="str">
            <v>DIXON</v>
          </cell>
          <cell r="D384" t="str">
            <v>CITY OR VILLAGE</v>
          </cell>
          <cell r="E384">
            <v>325</v>
          </cell>
          <cell r="F384" t="str">
            <v>NEWCASTLE</v>
          </cell>
          <cell r="G384">
            <v>137770</v>
          </cell>
          <cell r="H384">
            <v>0</v>
          </cell>
          <cell r="I384">
            <v>0</v>
          </cell>
          <cell r="J384">
            <v>7256940</v>
          </cell>
          <cell r="K384">
            <v>606880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8001590</v>
          </cell>
        </row>
        <row r="385">
          <cell r="B385">
            <v>26</v>
          </cell>
          <cell r="C385" t="str">
            <v>DIXON</v>
          </cell>
          <cell r="D385" t="str">
            <v>CITY OR VILLAGE</v>
          </cell>
          <cell r="E385">
            <v>961</v>
          </cell>
          <cell r="F385" t="str">
            <v>PONCA</v>
          </cell>
          <cell r="G385">
            <v>691566</v>
          </cell>
          <cell r="H385">
            <v>412915</v>
          </cell>
          <cell r="I385">
            <v>91441</v>
          </cell>
          <cell r="J385">
            <v>34478165</v>
          </cell>
          <cell r="K385">
            <v>3603925</v>
          </cell>
          <cell r="L385">
            <v>0</v>
          </cell>
          <cell r="M385">
            <v>0</v>
          </cell>
          <cell r="N385">
            <v>23260</v>
          </cell>
          <cell r="O385">
            <v>0</v>
          </cell>
          <cell r="P385">
            <v>0</v>
          </cell>
          <cell r="Q385">
            <v>0</v>
          </cell>
          <cell r="R385">
            <v>39301272</v>
          </cell>
        </row>
        <row r="386">
          <cell r="B386">
            <v>26</v>
          </cell>
          <cell r="C386" t="str">
            <v>DIXON</v>
          </cell>
          <cell r="D386" t="str">
            <v>CITY OR VILLAGE</v>
          </cell>
          <cell r="E386">
            <v>1451</v>
          </cell>
          <cell r="F386" t="str">
            <v>WAKEFIELD</v>
          </cell>
          <cell r="G386">
            <v>20740808</v>
          </cell>
          <cell r="H386">
            <v>379979</v>
          </cell>
          <cell r="I386">
            <v>68654</v>
          </cell>
          <cell r="J386">
            <v>28263145</v>
          </cell>
          <cell r="K386">
            <v>4232050</v>
          </cell>
          <cell r="L386">
            <v>10183940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63868576</v>
          </cell>
        </row>
        <row r="387">
          <cell r="B387">
            <v>26</v>
          </cell>
          <cell r="C387" t="str">
            <v>DIXON</v>
          </cell>
          <cell r="D387" t="str">
            <v>CITY OR VILLAGE</v>
          </cell>
          <cell r="E387">
            <v>73</v>
          </cell>
          <cell r="F387" t="str">
            <v>WATERBURY</v>
          </cell>
          <cell r="G387">
            <v>12624</v>
          </cell>
          <cell r="H387">
            <v>62776</v>
          </cell>
          <cell r="I387">
            <v>336144</v>
          </cell>
          <cell r="J387">
            <v>926105</v>
          </cell>
          <cell r="K387">
            <v>118355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1456004</v>
          </cell>
        </row>
        <row r="388">
          <cell r="B388">
            <v>26</v>
          </cell>
          <cell r="C388" t="str">
            <v>DIXON</v>
          </cell>
          <cell r="D388" t="str">
            <v>CITY OR VILLAGE</v>
          </cell>
        </row>
        <row r="389">
          <cell r="B389">
            <v>26</v>
          </cell>
          <cell r="C389" t="str">
            <v>DIXON</v>
          </cell>
          <cell r="D389" t="str">
            <v>CITY OR VILLAGE</v>
          </cell>
        </row>
        <row r="390">
          <cell r="B390">
            <v>26</v>
          </cell>
          <cell r="C390" t="str">
            <v>DIXON</v>
          </cell>
          <cell r="D390" t="str">
            <v>CITY OR VILLAGE</v>
          </cell>
        </row>
        <row r="391">
          <cell r="B391">
            <v>26</v>
          </cell>
          <cell r="C391" t="str">
            <v>DIXON</v>
          </cell>
          <cell r="D391" t="str">
            <v>CITY OR VILLAGE</v>
          </cell>
        </row>
        <row r="392">
          <cell r="B392">
            <v>26</v>
          </cell>
          <cell r="C392" t="str">
            <v>DIXON</v>
          </cell>
          <cell r="D392" t="str">
            <v>CITY OR VILLAGE</v>
          </cell>
        </row>
        <row r="393">
          <cell r="B393">
            <v>27</v>
          </cell>
          <cell r="C393" t="str">
            <v>DODGE</v>
          </cell>
          <cell r="D393" t="str">
            <v>CITY OR VILLAGE</v>
          </cell>
          <cell r="E393">
            <v>612</v>
          </cell>
          <cell r="F393" t="str">
            <v>DODGE</v>
          </cell>
          <cell r="G393">
            <v>378810</v>
          </cell>
          <cell r="H393">
            <v>385531</v>
          </cell>
          <cell r="I393">
            <v>85377</v>
          </cell>
          <cell r="J393">
            <v>19326474</v>
          </cell>
          <cell r="K393">
            <v>3367059</v>
          </cell>
          <cell r="L393">
            <v>0</v>
          </cell>
          <cell r="M393">
            <v>0</v>
          </cell>
          <cell r="N393">
            <v>53463</v>
          </cell>
          <cell r="O393">
            <v>0</v>
          </cell>
          <cell r="P393">
            <v>0</v>
          </cell>
          <cell r="Q393">
            <v>0</v>
          </cell>
          <cell r="R393">
            <v>23596714</v>
          </cell>
        </row>
        <row r="394">
          <cell r="B394">
            <v>27</v>
          </cell>
          <cell r="C394" t="str">
            <v>DODGE</v>
          </cell>
          <cell r="D394" t="str">
            <v>CITY OR VILLAGE</v>
          </cell>
          <cell r="E394">
            <v>26399</v>
          </cell>
          <cell r="F394" t="str">
            <v>FREMONT</v>
          </cell>
          <cell r="G394">
            <v>256856984</v>
          </cell>
          <cell r="H394">
            <v>8527242</v>
          </cell>
          <cell r="I394">
            <v>22241979</v>
          </cell>
          <cell r="J394">
            <v>1265749206</v>
          </cell>
          <cell r="K394">
            <v>368310506</v>
          </cell>
          <cell r="L394">
            <v>113145361</v>
          </cell>
          <cell r="M394">
            <v>0</v>
          </cell>
          <cell r="N394">
            <v>55229</v>
          </cell>
          <cell r="O394">
            <v>0</v>
          </cell>
          <cell r="P394">
            <v>0</v>
          </cell>
          <cell r="Q394">
            <v>0</v>
          </cell>
          <cell r="R394">
            <v>2034886507</v>
          </cell>
        </row>
        <row r="395">
          <cell r="B395">
            <v>27</v>
          </cell>
          <cell r="C395" t="str">
            <v>DODGE</v>
          </cell>
          <cell r="D395" t="str">
            <v>CITY OR VILLAGE</v>
          </cell>
          <cell r="E395">
            <v>832</v>
          </cell>
          <cell r="F395" t="str">
            <v>HOOPER</v>
          </cell>
          <cell r="G395">
            <v>1141297</v>
          </cell>
          <cell r="H395">
            <v>2227465</v>
          </cell>
          <cell r="I395">
            <v>172930</v>
          </cell>
          <cell r="J395">
            <v>34410531</v>
          </cell>
          <cell r="K395">
            <v>4040284</v>
          </cell>
          <cell r="L395">
            <v>0</v>
          </cell>
          <cell r="M395">
            <v>0</v>
          </cell>
          <cell r="N395">
            <v>8093</v>
          </cell>
          <cell r="O395">
            <v>0</v>
          </cell>
          <cell r="P395">
            <v>0</v>
          </cell>
          <cell r="Q395">
            <v>0</v>
          </cell>
          <cell r="R395">
            <v>42000600</v>
          </cell>
        </row>
        <row r="396">
          <cell r="B396">
            <v>27</v>
          </cell>
          <cell r="C396" t="str">
            <v>DODGE</v>
          </cell>
          <cell r="D396" t="str">
            <v>CITY OR VILLAGE</v>
          </cell>
          <cell r="E396">
            <v>325</v>
          </cell>
          <cell r="F396" t="str">
            <v>INGLEWOOD</v>
          </cell>
          <cell r="G396">
            <v>926256</v>
          </cell>
          <cell r="H396">
            <v>5386</v>
          </cell>
          <cell r="I396">
            <v>2085</v>
          </cell>
          <cell r="J396">
            <v>14433919</v>
          </cell>
          <cell r="K396">
            <v>3497498</v>
          </cell>
          <cell r="L396">
            <v>0</v>
          </cell>
          <cell r="M396">
            <v>0</v>
          </cell>
          <cell r="N396">
            <v>31953</v>
          </cell>
          <cell r="O396">
            <v>112421</v>
          </cell>
          <cell r="P396">
            <v>28224</v>
          </cell>
          <cell r="Q396">
            <v>0</v>
          </cell>
          <cell r="R396">
            <v>19037742</v>
          </cell>
        </row>
        <row r="397">
          <cell r="B397">
            <v>27</v>
          </cell>
          <cell r="C397" t="str">
            <v>DODGE</v>
          </cell>
          <cell r="D397" t="str">
            <v>CITY OR VILLAGE</v>
          </cell>
          <cell r="E397">
            <v>369</v>
          </cell>
          <cell r="F397" t="str">
            <v>NICKERSON</v>
          </cell>
          <cell r="G397">
            <v>692143</v>
          </cell>
          <cell r="H397">
            <v>174485</v>
          </cell>
          <cell r="I397">
            <v>546264</v>
          </cell>
          <cell r="J397">
            <v>5420131</v>
          </cell>
          <cell r="K397">
            <v>1168950</v>
          </cell>
          <cell r="L397">
            <v>288345</v>
          </cell>
          <cell r="M397">
            <v>0</v>
          </cell>
          <cell r="N397">
            <v>62064</v>
          </cell>
          <cell r="O397">
            <v>0</v>
          </cell>
          <cell r="P397">
            <v>0</v>
          </cell>
          <cell r="Q397">
            <v>0</v>
          </cell>
          <cell r="R397">
            <v>8352382</v>
          </cell>
        </row>
        <row r="398">
          <cell r="B398">
            <v>27</v>
          </cell>
          <cell r="C398" t="str">
            <v>DODGE</v>
          </cell>
          <cell r="D398" t="str">
            <v>CITY OR VILLAGE</v>
          </cell>
          <cell r="E398">
            <v>1212</v>
          </cell>
          <cell r="F398" t="str">
            <v>NORTH BEND</v>
          </cell>
          <cell r="G398">
            <v>1642755</v>
          </cell>
          <cell r="H398">
            <v>2385843</v>
          </cell>
          <cell r="I398">
            <v>3814014</v>
          </cell>
          <cell r="J398">
            <v>60570360</v>
          </cell>
          <cell r="K398">
            <v>6205917</v>
          </cell>
          <cell r="L398">
            <v>4406485</v>
          </cell>
          <cell r="M398">
            <v>46110</v>
          </cell>
          <cell r="N398">
            <v>22750</v>
          </cell>
          <cell r="O398">
            <v>0</v>
          </cell>
          <cell r="P398">
            <v>0</v>
          </cell>
          <cell r="Q398">
            <v>0</v>
          </cell>
          <cell r="R398">
            <v>79094234</v>
          </cell>
        </row>
        <row r="399">
          <cell r="B399">
            <v>27</v>
          </cell>
          <cell r="C399" t="str">
            <v>DODGE</v>
          </cell>
          <cell r="D399" t="str">
            <v>CITY OR VILLAGE</v>
          </cell>
          <cell r="E399">
            <v>857</v>
          </cell>
          <cell r="F399" t="str">
            <v>SCRIBNER</v>
          </cell>
          <cell r="G399">
            <v>1977894</v>
          </cell>
          <cell r="H399">
            <v>609010</v>
          </cell>
          <cell r="I399">
            <v>134867</v>
          </cell>
          <cell r="J399">
            <v>31725685</v>
          </cell>
          <cell r="K399">
            <v>6900370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41347826</v>
          </cell>
        </row>
        <row r="400">
          <cell r="B400">
            <v>27</v>
          </cell>
          <cell r="C400" t="str">
            <v>DODGE</v>
          </cell>
          <cell r="D400" t="str">
            <v>CITY OR VILLAGE</v>
          </cell>
          <cell r="E400">
            <v>300</v>
          </cell>
          <cell r="F400" t="str">
            <v>SNYDER</v>
          </cell>
          <cell r="G400">
            <v>2197229</v>
          </cell>
          <cell r="H400">
            <v>301484</v>
          </cell>
          <cell r="I400">
            <v>66764</v>
          </cell>
          <cell r="J400">
            <v>8785729</v>
          </cell>
          <cell r="K400">
            <v>1972319</v>
          </cell>
          <cell r="L400">
            <v>2229525</v>
          </cell>
          <cell r="M400">
            <v>0</v>
          </cell>
          <cell r="N400">
            <v>417461</v>
          </cell>
          <cell r="O400">
            <v>0</v>
          </cell>
          <cell r="P400">
            <v>0</v>
          </cell>
          <cell r="Q400">
            <v>0</v>
          </cell>
          <cell r="R400">
            <v>15970511</v>
          </cell>
        </row>
        <row r="401">
          <cell r="B401">
            <v>27</v>
          </cell>
          <cell r="C401" t="str">
            <v>DODGE</v>
          </cell>
          <cell r="D401" t="str">
            <v>CITY OR VILLAGE</v>
          </cell>
          <cell r="E401">
            <v>230</v>
          </cell>
          <cell r="F401" t="str">
            <v>UEHLING</v>
          </cell>
          <cell r="G401">
            <v>74566</v>
          </cell>
          <cell r="H401">
            <v>607755</v>
          </cell>
          <cell r="I401">
            <v>686910</v>
          </cell>
          <cell r="J401">
            <v>8201466</v>
          </cell>
          <cell r="K401">
            <v>819048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10389745</v>
          </cell>
        </row>
        <row r="402">
          <cell r="B402">
            <v>27</v>
          </cell>
          <cell r="C402" t="str">
            <v>DODGE</v>
          </cell>
          <cell r="D402" t="str">
            <v>CITY OR VILLAGE</v>
          </cell>
          <cell r="E402">
            <v>103</v>
          </cell>
          <cell r="F402" t="str">
            <v>WINSLOW</v>
          </cell>
          <cell r="G402">
            <v>48868</v>
          </cell>
          <cell r="H402">
            <v>278962</v>
          </cell>
          <cell r="I402">
            <v>620612</v>
          </cell>
          <cell r="J402">
            <v>1132440</v>
          </cell>
          <cell r="K402">
            <v>49862</v>
          </cell>
          <cell r="L402">
            <v>5882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2136626</v>
          </cell>
        </row>
        <row r="403">
          <cell r="B403">
            <v>27</v>
          </cell>
          <cell r="C403" t="str">
            <v>DODGE</v>
          </cell>
          <cell r="D403" t="str">
            <v>CITY OR VILLAGE</v>
          </cell>
        </row>
        <row r="404">
          <cell r="B404">
            <v>27</v>
          </cell>
          <cell r="C404" t="str">
            <v>DODGE</v>
          </cell>
          <cell r="D404" t="str">
            <v>CITY OR VILLAGE</v>
          </cell>
        </row>
        <row r="405">
          <cell r="B405">
            <v>27</v>
          </cell>
          <cell r="C405" t="str">
            <v>DODGE</v>
          </cell>
          <cell r="D405" t="str">
            <v>CITY OR VILLAGE</v>
          </cell>
        </row>
        <row r="406">
          <cell r="B406">
            <v>27</v>
          </cell>
          <cell r="C406" t="str">
            <v>DODGE</v>
          </cell>
          <cell r="D406" t="str">
            <v>CITY OR VILLAGE</v>
          </cell>
        </row>
        <row r="407">
          <cell r="B407">
            <v>27</v>
          </cell>
          <cell r="C407" t="str">
            <v>DODGE</v>
          </cell>
          <cell r="D407" t="str">
            <v>CITY OR VILLAGE</v>
          </cell>
        </row>
        <row r="408">
          <cell r="B408">
            <v>28</v>
          </cell>
          <cell r="C408" t="str">
            <v>DOUGLAS</v>
          </cell>
          <cell r="D408" t="str">
            <v>CITY OR VILLAGE</v>
          </cell>
          <cell r="E408">
            <v>1458</v>
          </cell>
          <cell r="F408" t="str">
            <v>BENNINGTON</v>
          </cell>
          <cell r="G408">
            <v>1533590</v>
          </cell>
          <cell r="H408">
            <v>478750</v>
          </cell>
          <cell r="I408">
            <v>421155</v>
          </cell>
          <cell r="J408">
            <v>127536300</v>
          </cell>
          <cell r="K408">
            <v>13786000</v>
          </cell>
          <cell r="L408">
            <v>8528700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152284495</v>
          </cell>
        </row>
        <row r="409">
          <cell r="B409">
            <v>28</v>
          </cell>
          <cell r="C409" t="str">
            <v>DOUGLAS</v>
          </cell>
          <cell r="D409" t="str">
            <v>CITY OR VILLAGE</v>
          </cell>
          <cell r="E409">
            <v>459959</v>
          </cell>
          <cell r="F409" t="str">
            <v>OMAHA</v>
          </cell>
          <cell r="G409">
            <v>1612609540</v>
          </cell>
          <cell r="H409">
            <v>355817915</v>
          </cell>
          <cell r="I409">
            <v>362064470</v>
          </cell>
          <cell r="J409">
            <v>24732864100</v>
          </cell>
          <cell r="K409">
            <v>11328532315</v>
          </cell>
          <cell r="L409">
            <v>2059555395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40451443735</v>
          </cell>
        </row>
        <row r="410">
          <cell r="B410">
            <v>28</v>
          </cell>
          <cell r="C410" t="str">
            <v>DOUGLAS</v>
          </cell>
          <cell r="D410" t="str">
            <v>CITY OR VILLAGE</v>
          </cell>
          <cell r="E410">
            <v>5943</v>
          </cell>
          <cell r="F410" t="str">
            <v>RALSTON</v>
          </cell>
          <cell r="G410">
            <v>8972560</v>
          </cell>
          <cell r="H410">
            <v>1767290</v>
          </cell>
          <cell r="I410">
            <v>1985160</v>
          </cell>
          <cell r="J410">
            <v>312830580</v>
          </cell>
          <cell r="K410">
            <v>83208100</v>
          </cell>
          <cell r="L410">
            <v>30500600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439264290</v>
          </cell>
        </row>
        <row r="411">
          <cell r="B411">
            <v>28</v>
          </cell>
          <cell r="C411" t="str">
            <v>DOUGLAS</v>
          </cell>
          <cell r="D411" t="str">
            <v>CITY OR VILLAGE</v>
          </cell>
          <cell r="E411">
            <v>2408</v>
          </cell>
          <cell r="F411" t="str">
            <v>VALLEY</v>
          </cell>
          <cell r="G411">
            <v>59389140</v>
          </cell>
          <cell r="H411">
            <v>4112825</v>
          </cell>
          <cell r="I411">
            <v>18936095</v>
          </cell>
          <cell r="J411">
            <v>281998450</v>
          </cell>
          <cell r="K411">
            <v>44747780</v>
          </cell>
          <cell r="L411">
            <v>41056200</v>
          </cell>
          <cell r="M411">
            <v>0</v>
          </cell>
          <cell r="N411">
            <v>52200</v>
          </cell>
          <cell r="O411">
            <v>0</v>
          </cell>
          <cell r="P411">
            <v>0</v>
          </cell>
          <cell r="Q411">
            <v>0</v>
          </cell>
          <cell r="R411">
            <v>450292690</v>
          </cell>
        </row>
        <row r="412">
          <cell r="B412">
            <v>28</v>
          </cell>
          <cell r="C412" t="str">
            <v>DOUGLAS</v>
          </cell>
          <cell r="D412" t="str">
            <v>CITY OR VILLAGE</v>
          </cell>
          <cell r="E412">
            <v>848</v>
          </cell>
          <cell r="F412" t="str">
            <v>WATERLOO</v>
          </cell>
          <cell r="G412">
            <v>10437550</v>
          </cell>
          <cell r="H412">
            <v>880195</v>
          </cell>
          <cell r="I412">
            <v>2843975</v>
          </cell>
          <cell r="J412">
            <v>43845200</v>
          </cell>
          <cell r="K412">
            <v>18793120</v>
          </cell>
          <cell r="L412">
            <v>22480300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99280340</v>
          </cell>
        </row>
        <row r="413">
          <cell r="B413">
            <v>28</v>
          </cell>
          <cell r="C413" t="str">
            <v>DOUGLAS</v>
          </cell>
          <cell r="D413" t="str">
            <v>CITY OR VILLAGE</v>
          </cell>
        </row>
        <row r="414">
          <cell r="B414">
            <v>28</v>
          </cell>
          <cell r="C414" t="str">
            <v>DOUGLAS</v>
          </cell>
          <cell r="D414" t="str">
            <v>CITY OR VILLAGE</v>
          </cell>
        </row>
        <row r="415">
          <cell r="B415">
            <v>28</v>
          </cell>
          <cell r="C415" t="str">
            <v>DOUGLAS</v>
          </cell>
          <cell r="D415" t="str">
            <v>CITY OR VILLAGE</v>
          </cell>
        </row>
        <row r="416">
          <cell r="B416">
            <v>28</v>
          </cell>
          <cell r="C416" t="str">
            <v>DOUGLAS</v>
          </cell>
          <cell r="D416" t="str">
            <v>CITY OR VILLAGE</v>
          </cell>
        </row>
        <row r="417">
          <cell r="B417">
            <v>28</v>
          </cell>
          <cell r="C417" t="str">
            <v>DOUGLAS</v>
          </cell>
          <cell r="D417" t="str">
            <v>CITY OR VILLAGE</v>
          </cell>
        </row>
        <row r="418">
          <cell r="B418">
            <v>28</v>
          </cell>
          <cell r="C418" t="str">
            <v>DOUGLAS</v>
          </cell>
          <cell r="D418" t="str">
            <v>CITY OR VILLAGE</v>
          </cell>
        </row>
        <row r="419">
          <cell r="B419">
            <v>28</v>
          </cell>
          <cell r="C419" t="str">
            <v>DOUGLAS</v>
          </cell>
          <cell r="D419" t="str">
            <v>CITY OR VILLAGE</v>
          </cell>
        </row>
        <row r="420">
          <cell r="B420">
            <v>28</v>
          </cell>
          <cell r="C420" t="str">
            <v>DOUGLAS</v>
          </cell>
          <cell r="D420" t="str">
            <v>CITY OR VILLAGE</v>
          </cell>
        </row>
        <row r="421">
          <cell r="B421">
            <v>28</v>
          </cell>
          <cell r="C421" t="str">
            <v>DOUGLAS</v>
          </cell>
          <cell r="D421" t="str">
            <v>CITY OR VILLAGE</v>
          </cell>
        </row>
        <row r="422">
          <cell r="B422">
            <v>28</v>
          </cell>
          <cell r="C422" t="str">
            <v>DOUGLAS</v>
          </cell>
          <cell r="D422" t="str">
            <v>CITY OR VILLAGE</v>
          </cell>
        </row>
        <row r="423">
          <cell r="B423">
            <v>29</v>
          </cell>
          <cell r="C423" t="str">
            <v>DUNDY</v>
          </cell>
          <cell r="D423" t="str">
            <v>CITY OR VILLAGE</v>
          </cell>
          <cell r="E423">
            <v>953</v>
          </cell>
          <cell r="F423" t="str">
            <v>BENKELMAN</v>
          </cell>
          <cell r="G423">
            <v>2412772</v>
          </cell>
          <cell r="H423">
            <v>1723952</v>
          </cell>
          <cell r="I423">
            <v>869801</v>
          </cell>
          <cell r="J423">
            <v>25625932</v>
          </cell>
          <cell r="K423">
            <v>5438683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36071140</v>
          </cell>
        </row>
        <row r="424">
          <cell r="B424">
            <v>29</v>
          </cell>
          <cell r="C424" t="str">
            <v>DUNDY</v>
          </cell>
          <cell r="D424" t="str">
            <v>CITY OR VILLAGE</v>
          </cell>
          <cell r="E424">
            <v>158</v>
          </cell>
          <cell r="F424" t="str">
            <v>HAIGLER</v>
          </cell>
          <cell r="G424">
            <v>31130</v>
          </cell>
          <cell r="H424">
            <v>364728</v>
          </cell>
          <cell r="I424">
            <v>687076</v>
          </cell>
          <cell r="J424">
            <v>2869773</v>
          </cell>
          <cell r="K424">
            <v>554520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4507227</v>
          </cell>
        </row>
        <row r="425">
          <cell r="B425">
            <v>29</v>
          </cell>
          <cell r="C425" t="str">
            <v>DUNDY</v>
          </cell>
          <cell r="D425" t="str">
            <v>CITY OR VILLAGE</v>
          </cell>
        </row>
        <row r="426">
          <cell r="B426">
            <v>29</v>
          </cell>
          <cell r="C426" t="str">
            <v>DUNDY</v>
          </cell>
          <cell r="D426" t="str">
            <v>CITY OR VILLAGE</v>
          </cell>
        </row>
        <row r="427">
          <cell r="B427">
            <v>29</v>
          </cell>
          <cell r="C427" t="str">
            <v>DUNDY</v>
          </cell>
          <cell r="D427" t="str">
            <v>CITY OR VILLAGE</v>
          </cell>
        </row>
        <row r="428">
          <cell r="B428">
            <v>29</v>
          </cell>
          <cell r="C428" t="str">
            <v>DUNDY</v>
          </cell>
          <cell r="D428" t="str">
            <v>CITY OR VILLAGE</v>
          </cell>
        </row>
        <row r="429">
          <cell r="B429">
            <v>29</v>
          </cell>
          <cell r="C429" t="str">
            <v>DUNDY</v>
          </cell>
          <cell r="D429" t="str">
            <v>CITY OR VILLAGE</v>
          </cell>
        </row>
        <row r="430">
          <cell r="B430">
            <v>29</v>
          </cell>
          <cell r="C430" t="str">
            <v>DUNDY</v>
          </cell>
          <cell r="D430" t="str">
            <v>CITY OR VILLAGE</v>
          </cell>
        </row>
        <row r="431">
          <cell r="B431">
            <v>29</v>
          </cell>
          <cell r="C431" t="str">
            <v>DUNDY</v>
          </cell>
          <cell r="D431" t="str">
            <v>CITY OR VILLAGE</v>
          </cell>
        </row>
        <row r="432">
          <cell r="B432">
            <v>29</v>
          </cell>
          <cell r="C432" t="str">
            <v>DUNDY</v>
          </cell>
          <cell r="D432" t="str">
            <v>CITY OR VILLAGE</v>
          </cell>
        </row>
        <row r="433">
          <cell r="B433">
            <v>29</v>
          </cell>
          <cell r="C433" t="str">
            <v>DUNDY</v>
          </cell>
          <cell r="D433" t="str">
            <v>CITY OR VILLAGE</v>
          </cell>
        </row>
        <row r="434">
          <cell r="B434">
            <v>29</v>
          </cell>
          <cell r="C434" t="str">
            <v>DUNDY</v>
          </cell>
          <cell r="D434" t="str">
            <v>CITY OR VILLAGE</v>
          </cell>
        </row>
        <row r="435">
          <cell r="B435">
            <v>29</v>
          </cell>
          <cell r="C435" t="str">
            <v>DUNDY</v>
          </cell>
          <cell r="D435" t="str">
            <v>CITY OR VILLAGE</v>
          </cell>
        </row>
        <row r="436">
          <cell r="B436">
            <v>29</v>
          </cell>
          <cell r="C436" t="str">
            <v>DUNDY</v>
          </cell>
          <cell r="D436" t="str">
            <v>CITY OR VILLAGE</v>
          </cell>
        </row>
        <row r="437">
          <cell r="B437">
            <v>29</v>
          </cell>
          <cell r="C437" t="str">
            <v>DUNDY</v>
          </cell>
          <cell r="D437" t="str">
            <v>CITY OR VILLAGE</v>
          </cell>
        </row>
        <row r="438">
          <cell r="B438">
            <v>30</v>
          </cell>
          <cell r="C438" t="str">
            <v>FILLMORE</v>
          </cell>
          <cell r="D438" t="str">
            <v>CITY OR VILLAGE</v>
          </cell>
          <cell r="E438">
            <v>591</v>
          </cell>
          <cell r="F438" t="str">
            <v>EXETER</v>
          </cell>
          <cell r="G438">
            <v>4892521</v>
          </cell>
          <cell r="H438">
            <v>585042</v>
          </cell>
          <cell r="I438">
            <v>1007753</v>
          </cell>
          <cell r="J438">
            <v>22612695</v>
          </cell>
          <cell r="K438">
            <v>6043750</v>
          </cell>
          <cell r="L438">
            <v>0</v>
          </cell>
          <cell r="M438">
            <v>0</v>
          </cell>
          <cell r="N438">
            <v>122250</v>
          </cell>
          <cell r="O438">
            <v>15000</v>
          </cell>
          <cell r="P438">
            <v>5720</v>
          </cell>
          <cell r="Q438">
            <v>0</v>
          </cell>
          <cell r="R438">
            <v>35284731</v>
          </cell>
        </row>
        <row r="439">
          <cell r="B439">
            <v>30</v>
          </cell>
          <cell r="C439" t="str">
            <v>FILLMORE</v>
          </cell>
          <cell r="D439" t="str">
            <v>CITY OR VILLAGE</v>
          </cell>
          <cell r="E439">
            <v>560</v>
          </cell>
          <cell r="F439" t="str">
            <v>FAIRMONT</v>
          </cell>
          <cell r="G439">
            <v>39843253</v>
          </cell>
          <cell r="H439">
            <v>828647</v>
          </cell>
          <cell r="I439">
            <v>1995996</v>
          </cell>
          <cell r="J439">
            <v>15096255</v>
          </cell>
          <cell r="K439">
            <v>5861310</v>
          </cell>
          <cell r="L439">
            <v>33315975</v>
          </cell>
          <cell r="M439">
            <v>0</v>
          </cell>
          <cell r="N439">
            <v>308075</v>
          </cell>
          <cell r="O439">
            <v>0</v>
          </cell>
          <cell r="P439">
            <v>15055</v>
          </cell>
          <cell r="Q439">
            <v>0</v>
          </cell>
          <cell r="R439">
            <v>97264566</v>
          </cell>
        </row>
        <row r="440">
          <cell r="B440">
            <v>30</v>
          </cell>
          <cell r="C440" t="str">
            <v>FILLMORE</v>
          </cell>
          <cell r="D440" t="str">
            <v>CITY OR VILLAGE</v>
          </cell>
          <cell r="E440">
            <v>2217</v>
          </cell>
          <cell r="F440" t="str">
            <v>GENEVA</v>
          </cell>
          <cell r="G440">
            <v>46135208</v>
          </cell>
          <cell r="H440">
            <v>1112550</v>
          </cell>
          <cell r="I440">
            <v>106024</v>
          </cell>
          <cell r="J440">
            <v>90266845</v>
          </cell>
          <cell r="K440">
            <v>27212297</v>
          </cell>
          <cell r="L440">
            <v>6817195</v>
          </cell>
          <cell r="M440">
            <v>0</v>
          </cell>
          <cell r="N440">
            <v>381665</v>
          </cell>
          <cell r="O440">
            <v>330230</v>
          </cell>
          <cell r="P440">
            <v>0</v>
          </cell>
          <cell r="Q440">
            <v>0</v>
          </cell>
          <cell r="R440">
            <v>172362014</v>
          </cell>
        </row>
        <row r="441">
          <cell r="B441">
            <v>30</v>
          </cell>
          <cell r="C441" t="str">
            <v>FILLMORE</v>
          </cell>
          <cell r="D441" t="str">
            <v>CITY OR VILLAGE</v>
          </cell>
          <cell r="E441">
            <v>126</v>
          </cell>
          <cell r="F441" t="str">
            <v>GRAFTON</v>
          </cell>
          <cell r="G441">
            <v>82672</v>
          </cell>
          <cell r="H441">
            <v>254642</v>
          </cell>
          <cell r="I441">
            <v>599871</v>
          </cell>
          <cell r="J441">
            <v>3379630</v>
          </cell>
          <cell r="K441">
            <v>2869190</v>
          </cell>
          <cell r="L441">
            <v>0</v>
          </cell>
          <cell r="M441">
            <v>0</v>
          </cell>
          <cell r="N441">
            <v>211815</v>
          </cell>
          <cell r="O441">
            <v>0</v>
          </cell>
          <cell r="P441">
            <v>38435</v>
          </cell>
          <cell r="Q441">
            <v>0</v>
          </cell>
          <cell r="R441">
            <v>7436255</v>
          </cell>
        </row>
        <row r="442">
          <cell r="B442">
            <v>30</v>
          </cell>
          <cell r="C442" t="str">
            <v>FILLMORE</v>
          </cell>
          <cell r="D442" t="str">
            <v>CITY OR VILLAGE</v>
          </cell>
          <cell r="E442">
            <v>285</v>
          </cell>
          <cell r="F442" t="str">
            <v>MILLIGAN</v>
          </cell>
          <cell r="G442">
            <v>376648</v>
          </cell>
          <cell r="H442">
            <v>145155</v>
          </cell>
          <cell r="I442">
            <v>14933</v>
          </cell>
          <cell r="J442">
            <v>8003080</v>
          </cell>
          <cell r="K442">
            <v>6877410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15417226</v>
          </cell>
        </row>
        <row r="443">
          <cell r="B443">
            <v>30</v>
          </cell>
          <cell r="C443" t="str">
            <v>FILLMORE</v>
          </cell>
          <cell r="D443" t="str">
            <v>CITY OR VILLAGE</v>
          </cell>
          <cell r="E443">
            <v>115</v>
          </cell>
          <cell r="F443" t="str">
            <v>OHIOWA</v>
          </cell>
          <cell r="G443">
            <v>9216</v>
          </cell>
          <cell r="H443">
            <v>90584</v>
          </cell>
          <cell r="I443">
            <v>2276</v>
          </cell>
          <cell r="J443">
            <v>1522230</v>
          </cell>
          <cell r="K443">
            <v>2785385</v>
          </cell>
          <cell r="L443">
            <v>0</v>
          </cell>
          <cell r="M443">
            <v>0</v>
          </cell>
          <cell r="N443">
            <v>32275</v>
          </cell>
          <cell r="O443">
            <v>0</v>
          </cell>
          <cell r="P443">
            <v>0</v>
          </cell>
          <cell r="Q443">
            <v>0</v>
          </cell>
          <cell r="R443">
            <v>4441966</v>
          </cell>
        </row>
        <row r="444">
          <cell r="B444">
            <v>30</v>
          </cell>
          <cell r="C444" t="str">
            <v>FILLMORE</v>
          </cell>
          <cell r="D444" t="str">
            <v>CITY OR VILLAGE</v>
          </cell>
          <cell r="E444">
            <v>341</v>
          </cell>
          <cell r="F444" t="str">
            <v>SHICKLEY</v>
          </cell>
          <cell r="G444">
            <v>205882</v>
          </cell>
          <cell r="H444">
            <v>145395</v>
          </cell>
          <cell r="I444">
            <v>3008</v>
          </cell>
          <cell r="J444">
            <v>13983340</v>
          </cell>
          <cell r="K444">
            <v>2775635</v>
          </cell>
          <cell r="L444">
            <v>189455</v>
          </cell>
          <cell r="M444">
            <v>0</v>
          </cell>
          <cell r="N444">
            <v>27470</v>
          </cell>
          <cell r="O444">
            <v>0</v>
          </cell>
          <cell r="P444">
            <v>0</v>
          </cell>
          <cell r="Q444">
            <v>0</v>
          </cell>
          <cell r="R444">
            <v>17330185</v>
          </cell>
        </row>
        <row r="445">
          <cell r="B445">
            <v>30</v>
          </cell>
          <cell r="C445" t="str">
            <v>FILLMORE</v>
          </cell>
          <cell r="D445" t="str">
            <v>CITY OR VILLAGE</v>
          </cell>
          <cell r="E445">
            <v>29</v>
          </cell>
          <cell r="F445" t="str">
            <v>STRANG</v>
          </cell>
          <cell r="G445">
            <v>617282</v>
          </cell>
          <cell r="H445">
            <v>42863</v>
          </cell>
          <cell r="I445">
            <v>121</v>
          </cell>
          <cell r="J445">
            <v>580140</v>
          </cell>
          <cell r="K445">
            <v>440870</v>
          </cell>
          <cell r="L445">
            <v>0</v>
          </cell>
          <cell r="M445">
            <v>0</v>
          </cell>
          <cell r="N445">
            <v>6020</v>
          </cell>
          <cell r="O445">
            <v>75370</v>
          </cell>
          <cell r="P445">
            <v>33540</v>
          </cell>
          <cell r="Q445">
            <v>0</v>
          </cell>
          <cell r="R445">
            <v>1796206</v>
          </cell>
        </row>
        <row r="446">
          <cell r="B446">
            <v>30</v>
          </cell>
          <cell r="C446" t="str">
            <v>FILLMORE</v>
          </cell>
          <cell r="D446" t="str">
            <v>CITY OR VILLAGE</v>
          </cell>
        </row>
        <row r="447">
          <cell r="B447">
            <v>30</v>
          </cell>
          <cell r="C447" t="str">
            <v>FILLMORE</v>
          </cell>
          <cell r="D447" t="str">
            <v>CITY OR VILLAGE</v>
          </cell>
        </row>
        <row r="448">
          <cell r="B448">
            <v>30</v>
          </cell>
          <cell r="C448" t="str">
            <v>FILLMORE</v>
          </cell>
          <cell r="D448" t="str">
            <v>CITY OR VILLAGE</v>
          </cell>
        </row>
        <row r="449">
          <cell r="B449">
            <v>30</v>
          </cell>
          <cell r="C449" t="str">
            <v>FILLMORE</v>
          </cell>
          <cell r="D449" t="str">
            <v>CITY OR VILLAGE</v>
          </cell>
        </row>
        <row r="450">
          <cell r="B450">
            <v>30</v>
          </cell>
          <cell r="C450" t="str">
            <v>FILLMORE</v>
          </cell>
          <cell r="D450" t="str">
            <v>CITY OR VILLAGE</v>
          </cell>
        </row>
        <row r="451">
          <cell r="B451">
            <v>30</v>
          </cell>
          <cell r="C451" t="str">
            <v>FILLMORE</v>
          </cell>
          <cell r="D451" t="str">
            <v>CITY OR VILLAGE</v>
          </cell>
        </row>
        <row r="452">
          <cell r="B452">
            <v>30</v>
          </cell>
          <cell r="C452" t="str">
            <v>FILLMORE</v>
          </cell>
          <cell r="D452" t="str">
            <v>CITY OR VILLAGE</v>
          </cell>
        </row>
        <row r="453">
          <cell r="B453">
            <v>31</v>
          </cell>
          <cell r="C453" t="str">
            <v>FRANKLIN</v>
          </cell>
          <cell r="D453" t="str">
            <v>CITY OR VILLAGE</v>
          </cell>
          <cell r="E453">
            <v>103</v>
          </cell>
          <cell r="F453" t="str">
            <v>BLOOMINGTON</v>
          </cell>
          <cell r="G453">
            <v>38992</v>
          </cell>
          <cell r="H453">
            <v>159435</v>
          </cell>
          <cell r="I453">
            <v>30077</v>
          </cell>
          <cell r="J453">
            <v>2485075</v>
          </cell>
          <cell r="K453">
            <v>181225</v>
          </cell>
          <cell r="L453">
            <v>0</v>
          </cell>
          <cell r="M453">
            <v>0</v>
          </cell>
          <cell r="N453">
            <v>391110</v>
          </cell>
          <cell r="O453">
            <v>242105</v>
          </cell>
          <cell r="P453">
            <v>35340</v>
          </cell>
          <cell r="Q453">
            <v>0</v>
          </cell>
          <cell r="R453">
            <v>3563359</v>
          </cell>
        </row>
        <row r="454">
          <cell r="B454">
            <v>31</v>
          </cell>
          <cell r="C454" t="str">
            <v>FRANKLIN</v>
          </cell>
          <cell r="D454" t="str">
            <v>CITY OR VILLAGE</v>
          </cell>
          <cell r="E454">
            <v>347</v>
          </cell>
          <cell r="F454" t="str">
            <v>CAMPBELL</v>
          </cell>
          <cell r="G454">
            <v>390746</v>
          </cell>
          <cell r="H454">
            <v>165067</v>
          </cell>
          <cell r="I454">
            <v>14065</v>
          </cell>
          <cell r="J454">
            <v>6640725</v>
          </cell>
          <cell r="K454">
            <v>6253410</v>
          </cell>
          <cell r="L454">
            <v>0</v>
          </cell>
          <cell r="M454">
            <v>0</v>
          </cell>
          <cell r="N454">
            <v>2200</v>
          </cell>
          <cell r="O454">
            <v>64860</v>
          </cell>
          <cell r="P454">
            <v>34960</v>
          </cell>
          <cell r="Q454">
            <v>0</v>
          </cell>
          <cell r="R454">
            <v>13566033</v>
          </cell>
        </row>
        <row r="455">
          <cell r="B455">
            <v>31</v>
          </cell>
          <cell r="C455" t="str">
            <v>FRANKLIN</v>
          </cell>
          <cell r="D455" t="str">
            <v>CITY OR VILLAGE</v>
          </cell>
          <cell r="E455">
            <v>1000</v>
          </cell>
          <cell r="F455" t="str">
            <v>FRANKLIN</v>
          </cell>
          <cell r="G455">
            <v>788513</v>
          </cell>
          <cell r="H455">
            <v>979627</v>
          </cell>
          <cell r="I455">
            <v>138787</v>
          </cell>
          <cell r="J455">
            <v>23970295</v>
          </cell>
          <cell r="K455">
            <v>8508695</v>
          </cell>
          <cell r="L455">
            <v>161810</v>
          </cell>
          <cell r="M455">
            <v>0</v>
          </cell>
          <cell r="N455">
            <v>28505</v>
          </cell>
          <cell r="O455">
            <v>0</v>
          </cell>
          <cell r="P455">
            <v>0</v>
          </cell>
          <cell r="Q455">
            <v>0</v>
          </cell>
          <cell r="R455">
            <v>34576232</v>
          </cell>
        </row>
        <row r="456">
          <cell r="B456">
            <v>31</v>
          </cell>
          <cell r="C456" t="str">
            <v>FRANKLIN</v>
          </cell>
          <cell r="D456" t="str">
            <v>CITY OR VILLAGE</v>
          </cell>
          <cell r="E456">
            <v>378</v>
          </cell>
          <cell r="F456" t="str">
            <v>HILDRETH</v>
          </cell>
          <cell r="G456">
            <v>152749</v>
          </cell>
          <cell r="H456">
            <v>191737</v>
          </cell>
          <cell r="I456">
            <v>22725</v>
          </cell>
          <cell r="J456">
            <v>13376370</v>
          </cell>
          <cell r="K456">
            <v>2989925</v>
          </cell>
          <cell r="L456">
            <v>0</v>
          </cell>
          <cell r="M456">
            <v>0</v>
          </cell>
          <cell r="N456">
            <v>499545</v>
          </cell>
          <cell r="O456">
            <v>295960</v>
          </cell>
          <cell r="P456">
            <v>123375</v>
          </cell>
          <cell r="Q456">
            <v>0</v>
          </cell>
          <cell r="R456">
            <v>17652386</v>
          </cell>
        </row>
        <row r="457">
          <cell r="B457">
            <v>31</v>
          </cell>
          <cell r="C457" t="str">
            <v>FRANKLIN</v>
          </cell>
          <cell r="D457" t="str">
            <v>CITY OR VILLAGE</v>
          </cell>
          <cell r="E457">
            <v>106</v>
          </cell>
          <cell r="F457" t="str">
            <v>NAPONEE</v>
          </cell>
          <cell r="G457">
            <v>5899</v>
          </cell>
          <cell r="H457">
            <v>179493</v>
          </cell>
          <cell r="I457">
            <v>45212</v>
          </cell>
          <cell r="J457">
            <v>1697175</v>
          </cell>
          <cell r="K457">
            <v>250840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2178619</v>
          </cell>
        </row>
        <row r="458">
          <cell r="B458">
            <v>31</v>
          </cell>
          <cell r="C458" t="str">
            <v>FRANKLIN</v>
          </cell>
          <cell r="D458" t="str">
            <v>CITY OR VILLAGE</v>
          </cell>
          <cell r="E458">
            <v>89</v>
          </cell>
          <cell r="F458" t="str">
            <v>RIVERTON</v>
          </cell>
          <cell r="G458">
            <v>76697</v>
          </cell>
          <cell r="H458">
            <v>238985</v>
          </cell>
          <cell r="I458">
            <v>35802</v>
          </cell>
          <cell r="J458">
            <v>725595</v>
          </cell>
          <cell r="K458">
            <v>58895</v>
          </cell>
          <cell r="L458">
            <v>0</v>
          </cell>
          <cell r="M458">
            <v>0</v>
          </cell>
          <cell r="N458">
            <v>83195</v>
          </cell>
          <cell r="O458">
            <v>0</v>
          </cell>
          <cell r="P458">
            <v>0</v>
          </cell>
          <cell r="Q458">
            <v>0</v>
          </cell>
          <cell r="R458">
            <v>1219169</v>
          </cell>
        </row>
        <row r="459">
          <cell r="B459">
            <v>31</v>
          </cell>
          <cell r="C459" t="str">
            <v>FRANKLIN</v>
          </cell>
          <cell r="D459" t="str">
            <v>CITY OR VILLAGE</v>
          </cell>
          <cell r="E459">
            <v>143</v>
          </cell>
          <cell r="F459" t="str">
            <v>UPLAND</v>
          </cell>
          <cell r="G459">
            <v>238732</v>
          </cell>
          <cell r="H459">
            <v>150456</v>
          </cell>
          <cell r="I459">
            <v>11959</v>
          </cell>
          <cell r="J459">
            <v>2401630</v>
          </cell>
          <cell r="K459">
            <v>1379800</v>
          </cell>
          <cell r="L459">
            <v>0</v>
          </cell>
          <cell r="M459">
            <v>0</v>
          </cell>
          <cell r="N459">
            <v>63085</v>
          </cell>
          <cell r="O459">
            <v>173215</v>
          </cell>
          <cell r="P459">
            <v>108540</v>
          </cell>
          <cell r="Q459">
            <v>0</v>
          </cell>
          <cell r="R459">
            <v>4527417</v>
          </cell>
        </row>
        <row r="460">
          <cell r="B460">
            <v>31</v>
          </cell>
          <cell r="C460" t="str">
            <v>FRANKLIN</v>
          </cell>
          <cell r="D460" t="str">
            <v>CITY OR VILLAGE</v>
          </cell>
        </row>
        <row r="461">
          <cell r="B461">
            <v>31</v>
          </cell>
          <cell r="C461" t="str">
            <v>FRANKLIN</v>
          </cell>
          <cell r="D461" t="str">
            <v>CITY OR VILLAGE</v>
          </cell>
        </row>
        <row r="462">
          <cell r="B462">
            <v>31</v>
          </cell>
          <cell r="C462" t="str">
            <v>FRANKLIN</v>
          </cell>
          <cell r="D462" t="str">
            <v>CITY OR VILLAGE</v>
          </cell>
        </row>
        <row r="463">
          <cell r="B463">
            <v>31</v>
          </cell>
          <cell r="C463" t="str">
            <v>FRANKLIN</v>
          </cell>
          <cell r="D463" t="str">
            <v>CITY OR VILLAGE</v>
          </cell>
        </row>
        <row r="464">
          <cell r="B464">
            <v>31</v>
          </cell>
          <cell r="C464" t="str">
            <v>FRANKLIN</v>
          </cell>
          <cell r="D464" t="str">
            <v>CITY OR VILLAGE</v>
          </cell>
        </row>
        <row r="465">
          <cell r="B465">
            <v>31</v>
          </cell>
          <cell r="C465" t="str">
            <v>FRANKLIN</v>
          </cell>
          <cell r="D465" t="str">
            <v>CITY OR VILLAGE</v>
          </cell>
        </row>
        <row r="466">
          <cell r="B466">
            <v>31</v>
          </cell>
          <cell r="C466" t="str">
            <v>FRANKLIN</v>
          </cell>
          <cell r="D466" t="str">
            <v>CITY OR VILLAGE</v>
          </cell>
        </row>
        <row r="467">
          <cell r="B467">
            <v>31</v>
          </cell>
          <cell r="C467" t="str">
            <v>FRANKLIN</v>
          </cell>
          <cell r="D467" t="str">
            <v>CITY OR VILLAGE</v>
          </cell>
        </row>
        <row r="468">
          <cell r="B468">
            <v>32</v>
          </cell>
          <cell r="C468" t="str">
            <v>FRONTIER</v>
          </cell>
          <cell r="D468" t="str">
            <v>CITY OR VILLAGE</v>
          </cell>
          <cell r="E468">
            <v>939</v>
          </cell>
          <cell r="F468" t="str">
            <v>CURTIS</v>
          </cell>
          <cell r="G468">
            <v>1965196</v>
          </cell>
          <cell r="H468">
            <v>474667</v>
          </cell>
          <cell r="I468">
            <v>100909</v>
          </cell>
          <cell r="J468">
            <v>21531998</v>
          </cell>
          <cell r="K468">
            <v>5053669</v>
          </cell>
          <cell r="L468">
            <v>0</v>
          </cell>
          <cell r="M468">
            <v>0</v>
          </cell>
          <cell r="N468">
            <v>67773</v>
          </cell>
          <cell r="O468">
            <v>0</v>
          </cell>
          <cell r="P468">
            <v>0</v>
          </cell>
          <cell r="Q468">
            <v>0</v>
          </cell>
          <cell r="R468">
            <v>29194212</v>
          </cell>
        </row>
        <row r="469">
          <cell r="B469">
            <v>32</v>
          </cell>
          <cell r="C469" t="str">
            <v>FRONTIER</v>
          </cell>
          <cell r="D469" t="str">
            <v>CITY OR VILLAGE</v>
          </cell>
          <cell r="E469">
            <v>401</v>
          </cell>
          <cell r="F469" t="str">
            <v>EUSTIS</v>
          </cell>
          <cell r="G469">
            <v>1400071</v>
          </cell>
          <cell r="H469">
            <v>271440</v>
          </cell>
          <cell r="I469">
            <v>52187</v>
          </cell>
          <cell r="J469">
            <v>15845967</v>
          </cell>
          <cell r="K469">
            <v>4324493</v>
          </cell>
          <cell r="L469">
            <v>0</v>
          </cell>
          <cell r="M469">
            <v>0</v>
          </cell>
          <cell r="N469">
            <v>12924</v>
          </cell>
          <cell r="O469">
            <v>0</v>
          </cell>
          <cell r="P469">
            <v>0</v>
          </cell>
          <cell r="Q469">
            <v>0</v>
          </cell>
          <cell r="R469">
            <v>21907082</v>
          </cell>
        </row>
        <row r="470">
          <cell r="B470">
            <v>32</v>
          </cell>
          <cell r="C470" t="str">
            <v>FRONTIER</v>
          </cell>
          <cell r="D470" t="str">
            <v>CITY OR VILLAGE</v>
          </cell>
          <cell r="E470">
            <v>261</v>
          </cell>
          <cell r="F470" t="str">
            <v>MAYWOOD</v>
          </cell>
          <cell r="G470">
            <v>204567</v>
          </cell>
          <cell r="H470">
            <v>112023</v>
          </cell>
          <cell r="I470">
            <v>45093</v>
          </cell>
          <cell r="J470">
            <v>6827087</v>
          </cell>
          <cell r="K470">
            <v>6295886</v>
          </cell>
          <cell r="L470">
            <v>0</v>
          </cell>
          <cell r="M470">
            <v>0</v>
          </cell>
          <cell r="N470">
            <v>66623</v>
          </cell>
          <cell r="O470">
            <v>292431</v>
          </cell>
          <cell r="P470">
            <v>76382</v>
          </cell>
          <cell r="Q470">
            <v>0</v>
          </cell>
          <cell r="R470">
            <v>13920092</v>
          </cell>
        </row>
        <row r="471">
          <cell r="B471">
            <v>32</v>
          </cell>
          <cell r="C471" t="str">
            <v>FRONTIER</v>
          </cell>
          <cell r="D471" t="str">
            <v>CITY OR VILLAGE</v>
          </cell>
          <cell r="E471">
            <v>32</v>
          </cell>
          <cell r="F471" t="str">
            <v>MOOREFIELD</v>
          </cell>
          <cell r="G471">
            <v>70880</v>
          </cell>
          <cell r="H471">
            <v>8522</v>
          </cell>
          <cell r="I471">
            <v>20981</v>
          </cell>
          <cell r="J471">
            <v>767797</v>
          </cell>
          <cell r="K471">
            <v>419760</v>
          </cell>
          <cell r="L471">
            <v>0</v>
          </cell>
          <cell r="M471">
            <v>0</v>
          </cell>
          <cell r="N471">
            <v>40704</v>
          </cell>
          <cell r="O471">
            <v>0</v>
          </cell>
          <cell r="P471">
            <v>0</v>
          </cell>
          <cell r="Q471">
            <v>0</v>
          </cell>
          <cell r="R471">
            <v>1328644</v>
          </cell>
        </row>
        <row r="472">
          <cell r="B472">
            <v>32</v>
          </cell>
          <cell r="C472" t="str">
            <v>FRONTIER</v>
          </cell>
          <cell r="D472" t="str">
            <v>CITY OR VILLAGE</v>
          </cell>
          <cell r="E472">
            <v>25</v>
          </cell>
          <cell r="F472" t="str">
            <v>STOCKVILLE</v>
          </cell>
          <cell r="G472">
            <v>57715</v>
          </cell>
          <cell r="H472">
            <v>92294</v>
          </cell>
          <cell r="I472">
            <v>908</v>
          </cell>
          <cell r="J472">
            <v>756882</v>
          </cell>
          <cell r="K472">
            <v>73038</v>
          </cell>
          <cell r="L472">
            <v>0</v>
          </cell>
          <cell r="M472">
            <v>0</v>
          </cell>
          <cell r="N472">
            <v>33295</v>
          </cell>
          <cell r="O472">
            <v>0</v>
          </cell>
          <cell r="P472">
            <v>0</v>
          </cell>
          <cell r="Q472">
            <v>0</v>
          </cell>
          <cell r="R472">
            <v>1014132</v>
          </cell>
        </row>
        <row r="473">
          <cell r="B473">
            <v>32</v>
          </cell>
          <cell r="C473" t="str">
            <v>FRONTIER</v>
          </cell>
          <cell r="D473" t="str">
            <v>CITY OR VILLAGE</v>
          </cell>
        </row>
        <row r="474">
          <cell r="B474">
            <v>32</v>
          </cell>
          <cell r="C474" t="str">
            <v>FRONTIER</v>
          </cell>
          <cell r="D474" t="str">
            <v>CITY OR VILLAGE</v>
          </cell>
        </row>
        <row r="475">
          <cell r="B475">
            <v>32</v>
          </cell>
          <cell r="C475" t="str">
            <v>FRONTIER</v>
          </cell>
          <cell r="D475" t="str">
            <v>CITY OR VILLAGE</v>
          </cell>
        </row>
        <row r="476">
          <cell r="B476">
            <v>32</v>
          </cell>
          <cell r="C476" t="str">
            <v>FRONTIER</v>
          </cell>
          <cell r="D476" t="str">
            <v>CITY OR VILLAGE</v>
          </cell>
        </row>
        <row r="477">
          <cell r="B477">
            <v>32</v>
          </cell>
          <cell r="C477" t="str">
            <v>FRONTIER</v>
          </cell>
          <cell r="D477" t="str">
            <v>CITY OR VILLAGE</v>
          </cell>
        </row>
        <row r="478">
          <cell r="B478">
            <v>32</v>
          </cell>
          <cell r="C478" t="str">
            <v>FRONTIER</v>
          </cell>
          <cell r="D478" t="str">
            <v>CITY OR VILLAGE</v>
          </cell>
        </row>
        <row r="479">
          <cell r="B479">
            <v>32</v>
          </cell>
          <cell r="C479" t="str">
            <v>FRONTIER</v>
          </cell>
          <cell r="D479" t="str">
            <v>CITY OR VILLAGE</v>
          </cell>
        </row>
        <row r="480">
          <cell r="B480">
            <v>32</v>
          </cell>
          <cell r="C480" t="str">
            <v>FRONTIER</v>
          </cell>
          <cell r="D480" t="str">
            <v>CITY OR VILLAGE</v>
          </cell>
        </row>
        <row r="481">
          <cell r="B481">
            <v>32</v>
          </cell>
          <cell r="C481" t="str">
            <v>FRONTIER</v>
          </cell>
          <cell r="D481" t="str">
            <v>CITY OR VILLAGE</v>
          </cell>
        </row>
        <row r="482">
          <cell r="B482">
            <v>32</v>
          </cell>
          <cell r="C482" t="str">
            <v>FRONTIER</v>
          </cell>
          <cell r="D482" t="str">
            <v>CITY OR VILLAGE</v>
          </cell>
        </row>
        <row r="483">
          <cell r="B483">
            <v>33</v>
          </cell>
          <cell r="C483" t="str">
            <v>FURNAS</v>
          </cell>
          <cell r="D483" t="str">
            <v>CITY OR VILLAGE</v>
          </cell>
          <cell r="E483">
            <v>1026</v>
          </cell>
          <cell r="F483" t="str">
            <v>ARAPAHOE</v>
          </cell>
          <cell r="G483">
            <v>281870</v>
          </cell>
          <cell r="H483">
            <v>1473737</v>
          </cell>
          <cell r="I483">
            <v>751495</v>
          </cell>
          <cell r="J483">
            <v>30756335</v>
          </cell>
          <cell r="K483">
            <v>6291775</v>
          </cell>
          <cell r="L483">
            <v>0</v>
          </cell>
          <cell r="M483">
            <v>0</v>
          </cell>
          <cell r="N483">
            <v>6310</v>
          </cell>
          <cell r="O483">
            <v>0</v>
          </cell>
          <cell r="P483">
            <v>0</v>
          </cell>
          <cell r="Q483">
            <v>0</v>
          </cell>
          <cell r="R483">
            <v>39561522</v>
          </cell>
        </row>
        <row r="484">
          <cell r="B484">
            <v>33</v>
          </cell>
          <cell r="C484" t="str">
            <v>FURNAS</v>
          </cell>
          <cell r="D484" t="str">
            <v>CITY OR VILLAGE</v>
          </cell>
          <cell r="E484">
            <v>609</v>
          </cell>
          <cell r="F484" t="str">
            <v>BEAVER CITY</v>
          </cell>
          <cell r="G484">
            <v>323801</v>
          </cell>
          <cell r="H484">
            <v>569329</v>
          </cell>
          <cell r="I484">
            <v>84894</v>
          </cell>
          <cell r="J484">
            <v>10409650</v>
          </cell>
          <cell r="K484">
            <v>1678675</v>
          </cell>
          <cell r="L484">
            <v>981430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14047779</v>
          </cell>
        </row>
        <row r="485">
          <cell r="B485">
            <v>33</v>
          </cell>
          <cell r="C485" t="str">
            <v>FURNAS</v>
          </cell>
          <cell r="D485" t="str">
            <v>CITY OR VILLAGE</v>
          </cell>
          <cell r="E485">
            <v>1063</v>
          </cell>
          <cell r="F485" t="str">
            <v>CAMBRIDGE</v>
          </cell>
          <cell r="G485">
            <v>4503397</v>
          </cell>
          <cell r="H485">
            <v>2108718</v>
          </cell>
          <cell r="I485">
            <v>1344051</v>
          </cell>
          <cell r="J485">
            <v>35510655</v>
          </cell>
          <cell r="K485">
            <v>5255990</v>
          </cell>
          <cell r="L485">
            <v>154175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48876986</v>
          </cell>
        </row>
        <row r="486">
          <cell r="B486">
            <v>33</v>
          </cell>
          <cell r="C486" t="str">
            <v>FURNAS</v>
          </cell>
          <cell r="D486" t="str">
            <v>CITY OR VILLAGE</v>
          </cell>
          <cell r="E486">
            <v>133</v>
          </cell>
          <cell r="F486" t="str">
            <v>EDISON</v>
          </cell>
          <cell r="G486">
            <v>5421411</v>
          </cell>
          <cell r="H486">
            <v>667440</v>
          </cell>
          <cell r="I486">
            <v>801944</v>
          </cell>
          <cell r="J486">
            <v>1417040</v>
          </cell>
          <cell r="K486">
            <v>6883765</v>
          </cell>
          <cell r="L486">
            <v>0</v>
          </cell>
          <cell r="M486">
            <v>0</v>
          </cell>
          <cell r="N486">
            <v>89370</v>
          </cell>
          <cell r="O486">
            <v>0</v>
          </cell>
          <cell r="P486">
            <v>7080</v>
          </cell>
          <cell r="Q486">
            <v>0</v>
          </cell>
          <cell r="R486">
            <v>15288050</v>
          </cell>
        </row>
        <row r="487">
          <cell r="B487">
            <v>33</v>
          </cell>
          <cell r="C487" t="str">
            <v>FURNAS</v>
          </cell>
          <cell r="D487" t="str">
            <v>CITY OR VILLAGE</v>
          </cell>
          <cell r="E487">
            <v>24</v>
          </cell>
          <cell r="F487" t="str">
            <v>HENDLEY</v>
          </cell>
          <cell r="G487">
            <v>1618</v>
          </cell>
          <cell r="H487">
            <v>33984</v>
          </cell>
          <cell r="I487">
            <v>13597</v>
          </cell>
          <cell r="J487">
            <v>451510</v>
          </cell>
          <cell r="K487">
            <v>42555</v>
          </cell>
          <cell r="L487">
            <v>0</v>
          </cell>
          <cell r="M487">
            <v>0</v>
          </cell>
          <cell r="N487">
            <v>17925</v>
          </cell>
          <cell r="O487">
            <v>0</v>
          </cell>
          <cell r="P487">
            <v>55490</v>
          </cell>
          <cell r="Q487">
            <v>0</v>
          </cell>
          <cell r="R487">
            <v>616679</v>
          </cell>
        </row>
        <row r="488">
          <cell r="B488">
            <v>33</v>
          </cell>
          <cell r="C488" t="str">
            <v>FURNAS</v>
          </cell>
          <cell r="D488" t="str">
            <v>CITY OR VILLAGE</v>
          </cell>
          <cell r="E488">
            <v>207</v>
          </cell>
          <cell r="F488" t="str">
            <v>HOLBROOK</v>
          </cell>
          <cell r="G488">
            <v>101392</v>
          </cell>
          <cell r="H488">
            <v>299740</v>
          </cell>
          <cell r="I488">
            <v>417172</v>
          </cell>
          <cell r="J488">
            <v>3181155</v>
          </cell>
          <cell r="K488">
            <v>797615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4797074</v>
          </cell>
        </row>
        <row r="489">
          <cell r="B489">
            <v>33</v>
          </cell>
          <cell r="C489" t="str">
            <v>FURNAS</v>
          </cell>
          <cell r="D489" t="str">
            <v>CITY OR VILLAGE</v>
          </cell>
          <cell r="E489">
            <v>779</v>
          </cell>
          <cell r="F489" t="str">
            <v>OXFORD</v>
          </cell>
          <cell r="G489">
            <v>228484</v>
          </cell>
          <cell r="H489">
            <v>600116</v>
          </cell>
          <cell r="I489">
            <v>1237356</v>
          </cell>
          <cell r="J489">
            <v>11329250</v>
          </cell>
          <cell r="K489">
            <v>2636640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16031846</v>
          </cell>
        </row>
        <row r="490">
          <cell r="B490">
            <v>33</v>
          </cell>
          <cell r="C490" t="str">
            <v>FURNAS</v>
          </cell>
          <cell r="D490" t="str">
            <v>CITY OR VILLAGE</v>
          </cell>
          <cell r="E490">
            <v>93</v>
          </cell>
          <cell r="F490" t="str">
            <v>WILSONVILLE</v>
          </cell>
          <cell r="G490">
            <v>1163758</v>
          </cell>
          <cell r="H490">
            <v>134195</v>
          </cell>
          <cell r="I490">
            <v>29460</v>
          </cell>
          <cell r="J490">
            <v>1481255</v>
          </cell>
          <cell r="K490">
            <v>87430</v>
          </cell>
          <cell r="L490">
            <v>0</v>
          </cell>
          <cell r="M490">
            <v>0</v>
          </cell>
          <cell r="N490">
            <v>9750</v>
          </cell>
          <cell r="O490">
            <v>0</v>
          </cell>
          <cell r="P490">
            <v>0</v>
          </cell>
          <cell r="Q490">
            <v>0</v>
          </cell>
          <cell r="R490">
            <v>2905848</v>
          </cell>
        </row>
        <row r="491">
          <cell r="B491">
            <v>33</v>
          </cell>
          <cell r="C491" t="str">
            <v>FURNAS</v>
          </cell>
          <cell r="D491" t="str">
            <v>CITY OR VILLAGE</v>
          </cell>
        </row>
        <row r="492">
          <cell r="B492">
            <v>33</v>
          </cell>
          <cell r="C492" t="str">
            <v>FURNAS</v>
          </cell>
          <cell r="D492" t="str">
            <v>CITY OR VILLAGE</v>
          </cell>
        </row>
        <row r="493">
          <cell r="B493">
            <v>33</v>
          </cell>
          <cell r="C493" t="str">
            <v>FURNAS</v>
          </cell>
          <cell r="D493" t="str">
            <v>CITY OR VILLAGE</v>
          </cell>
        </row>
        <row r="494">
          <cell r="B494">
            <v>33</v>
          </cell>
          <cell r="C494" t="str">
            <v>FURNAS</v>
          </cell>
          <cell r="D494" t="str">
            <v>CITY OR VILLAGE</v>
          </cell>
        </row>
        <row r="495">
          <cell r="B495">
            <v>33</v>
          </cell>
          <cell r="C495" t="str">
            <v>FURNAS</v>
          </cell>
          <cell r="D495" t="str">
            <v>CITY OR VILLAGE</v>
          </cell>
        </row>
        <row r="496">
          <cell r="B496">
            <v>33</v>
          </cell>
          <cell r="C496" t="str">
            <v>FURNAS</v>
          </cell>
          <cell r="D496" t="str">
            <v>CITY OR VILLAGE</v>
          </cell>
        </row>
        <row r="497">
          <cell r="B497">
            <v>33</v>
          </cell>
          <cell r="C497" t="str">
            <v>FURNAS</v>
          </cell>
          <cell r="D497" t="str">
            <v>CITY OR VILLAGE</v>
          </cell>
        </row>
        <row r="498">
          <cell r="B498">
            <v>34</v>
          </cell>
          <cell r="C498" t="str">
            <v>GAGE</v>
          </cell>
          <cell r="D498" t="str">
            <v>CITY OR VILLAGE</v>
          </cell>
          <cell r="E498">
            <v>573</v>
          </cell>
          <cell r="F498" t="str">
            <v>ADAMS</v>
          </cell>
          <cell r="G498">
            <v>37727472</v>
          </cell>
          <cell r="H498">
            <v>672148</v>
          </cell>
          <cell r="I498">
            <v>2202870</v>
          </cell>
          <cell r="J498">
            <v>30043900</v>
          </cell>
          <cell r="K498">
            <v>6040920</v>
          </cell>
          <cell r="L498">
            <v>173315</v>
          </cell>
          <cell r="M498">
            <v>0</v>
          </cell>
          <cell r="N498">
            <v>152465</v>
          </cell>
          <cell r="O498">
            <v>0</v>
          </cell>
          <cell r="P498">
            <v>0</v>
          </cell>
          <cell r="Q498">
            <v>0</v>
          </cell>
          <cell r="R498">
            <v>77013090</v>
          </cell>
        </row>
        <row r="499">
          <cell r="B499">
            <v>34</v>
          </cell>
          <cell r="C499" t="str">
            <v>GAGE</v>
          </cell>
          <cell r="D499" t="str">
            <v>CITY OR VILLAGE</v>
          </cell>
          <cell r="E499">
            <v>116</v>
          </cell>
          <cell r="F499" t="str">
            <v>BARNESTON</v>
          </cell>
          <cell r="G499">
            <v>543</v>
          </cell>
          <cell r="H499">
            <v>60314</v>
          </cell>
          <cell r="I499">
            <v>2850</v>
          </cell>
          <cell r="J499">
            <v>1559095</v>
          </cell>
          <cell r="K499">
            <v>2305305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3928107</v>
          </cell>
        </row>
        <row r="500">
          <cell r="B500">
            <v>34</v>
          </cell>
          <cell r="C500" t="str">
            <v>GAGE</v>
          </cell>
          <cell r="D500" t="str">
            <v>CITY OR VILLAGE</v>
          </cell>
          <cell r="E500">
            <v>12669</v>
          </cell>
          <cell r="F500" t="str">
            <v>BEATRICE</v>
          </cell>
          <cell r="G500">
            <v>48005020</v>
          </cell>
          <cell r="H500">
            <v>8273650</v>
          </cell>
          <cell r="I500">
            <v>3132828</v>
          </cell>
          <cell r="J500">
            <v>465600295</v>
          </cell>
          <cell r="K500">
            <v>137760455</v>
          </cell>
          <cell r="L500">
            <v>49315945</v>
          </cell>
          <cell r="M500">
            <v>0</v>
          </cell>
          <cell r="N500">
            <v>373215</v>
          </cell>
          <cell r="O500">
            <v>65525</v>
          </cell>
          <cell r="P500">
            <v>0</v>
          </cell>
          <cell r="Q500">
            <v>0</v>
          </cell>
          <cell r="R500">
            <v>712526933</v>
          </cell>
        </row>
        <row r="501">
          <cell r="B501">
            <v>34</v>
          </cell>
          <cell r="C501" t="str">
            <v>GAGE</v>
          </cell>
          <cell r="D501" t="str">
            <v>CITY OR VILLAGE</v>
          </cell>
          <cell r="E501">
            <v>331</v>
          </cell>
          <cell r="F501" t="str">
            <v>BLUE SPRINGS</v>
          </cell>
          <cell r="G501">
            <v>250964</v>
          </cell>
          <cell r="H501">
            <v>265187</v>
          </cell>
          <cell r="I501">
            <v>33005</v>
          </cell>
          <cell r="J501">
            <v>5088375</v>
          </cell>
          <cell r="K501">
            <v>1330170</v>
          </cell>
          <cell r="L501">
            <v>0</v>
          </cell>
          <cell r="M501">
            <v>3685</v>
          </cell>
          <cell r="N501">
            <v>8885</v>
          </cell>
          <cell r="O501">
            <v>0</v>
          </cell>
          <cell r="P501">
            <v>0</v>
          </cell>
          <cell r="Q501">
            <v>0</v>
          </cell>
          <cell r="R501">
            <v>6980271</v>
          </cell>
        </row>
        <row r="502">
          <cell r="B502">
            <v>34</v>
          </cell>
          <cell r="C502" t="str">
            <v>GAGE</v>
          </cell>
          <cell r="D502" t="str">
            <v>CITY OR VILLAGE</v>
          </cell>
          <cell r="E502">
            <v>231</v>
          </cell>
          <cell r="F502" t="str">
            <v>CLATONIA</v>
          </cell>
          <cell r="G502">
            <v>75599</v>
          </cell>
          <cell r="H502">
            <v>145114</v>
          </cell>
          <cell r="I502">
            <v>13676</v>
          </cell>
          <cell r="J502">
            <v>9006590</v>
          </cell>
          <cell r="K502">
            <v>648380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9889359</v>
          </cell>
        </row>
        <row r="503">
          <cell r="B503">
            <v>34</v>
          </cell>
          <cell r="C503" t="str">
            <v>GAGE</v>
          </cell>
          <cell r="D503" t="str">
            <v>CITY OR VILLAGE</v>
          </cell>
          <cell r="E503">
            <v>482</v>
          </cell>
          <cell r="F503" t="str">
            <v>CORTLAND</v>
          </cell>
          <cell r="G503">
            <v>300521</v>
          </cell>
          <cell r="H503">
            <v>260983</v>
          </cell>
          <cell r="I503">
            <v>26016</v>
          </cell>
          <cell r="J503">
            <v>25991990</v>
          </cell>
          <cell r="K503">
            <v>3167320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29746830</v>
          </cell>
        </row>
        <row r="504">
          <cell r="B504">
            <v>34</v>
          </cell>
          <cell r="C504" t="str">
            <v>GAGE</v>
          </cell>
          <cell r="D504" t="str">
            <v>CITY OR VILLAGE</v>
          </cell>
          <cell r="E504">
            <v>132</v>
          </cell>
          <cell r="F504" t="str">
            <v>FILLEY</v>
          </cell>
          <cell r="G504">
            <v>61984</v>
          </cell>
          <cell r="H504">
            <v>72930</v>
          </cell>
          <cell r="I504">
            <v>3446</v>
          </cell>
          <cell r="J504">
            <v>4546525</v>
          </cell>
          <cell r="K504">
            <v>596220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5281105</v>
          </cell>
        </row>
        <row r="505">
          <cell r="B505">
            <v>34</v>
          </cell>
          <cell r="C505" t="str">
            <v>GAGE</v>
          </cell>
          <cell r="D505" t="str">
            <v>CITY OR VILLAGE</v>
          </cell>
          <cell r="E505">
            <v>76</v>
          </cell>
          <cell r="F505" t="str">
            <v>LIBERTY</v>
          </cell>
          <cell r="G505">
            <v>544</v>
          </cell>
          <cell r="H505">
            <v>56925</v>
          </cell>
          <cell r="I505">
            <v>2690</v>
          </cell>
          <cell r="J505">
            <v>1011270</v>
          </cell>
          <cell r="K505">
            <v>108290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1179719</v>
          </cell>
        </row>
        <row r="506">
          <cell r="B506">
            <v>34</v>
          </cell>
          <cell r="C506" t="str">
            <v>GAGE</v>
          </cell>
          <cell r="D506" t="str">
            <v>CITY OR VILLAGE</v>
          </cell>
          <cell r="E506">
            <v>307</v>
          </cell>
          <cell r="F506" t="str">
            <v>ODELL</v>
          </cell>
          <cell r="G506">
            <v>379425</v>
          </cell>
          <cell r="H506">
            <v>663851</v>
          </cell>
          <cell r="I506">
            <v>30322</v>
          </cell>
          <cell r="J506">
            <v>7105685</v>
          </cell>
          <cell r="K506">
            <v>2001410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10180693</v>
          </cell>
        </row>
        <row r="507">
          <cell r="B507">
            <v>34</v>
          </cell>
          <cell r="C507" t="str">
            <v>GAGE</v>
          </cell>
          <cell r="D507" t="str">
            <v>CITY OR VILLAGE</v>
          </cell>
          <cell r="E507">
            <v>199</v>
          </cell>
          <cell r="F507" t="str">
            <v>PICKRELL</v>
          </cell>
          <cell r="G507">
            <v>91025</v>
          </cell>
          <cell r="H507">
            <v>60354</v>
          </cell>
          <cell r="I507">
            <v>2852</v>
          </cell>
          <cell r="J507">
            <v>10076290</v>
          </cell>
          <cell r="K507">
            <v>2303565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12534086</v>
          </cell>
        </row>
        <row r="508">
          <cell r="B508">
            <v>34</v>
          </cell>
          <cell r="C508" t="str">
            <v>GAGE</v>
          </cell>
          <cell r="D508" t="str">
            <v>CITY OR VILLAGE</v>
          </cell>
          <cell r="E508">
            <v>60</v>
          </cell>
          <cell r="F508" t="str">
            <v>VIRGINIA</v>
          </cell>
          <cell r="G508">
            <v>37889</v>
          </cell>
          <cell r="H508">
            <v>48159</v>
          </cell>
          <cell r="I508">
            <v>1470</v>
          </cell>
          <cell r="J508">
            <v>975620</v>
          </cell>
          <cell r="K508">
            <v>3120060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4183198</v>
          </cell>
        </row>
        <row r="509">
          <cell r="B509">
            <v>34</v>
          </cell>
          <cell r="C509" t="str">
            <v>GAGE</v>
          </cell>
          <cell r="D509" t="str">
            <v>CITY OR VILLAGE</v>
          </cell>
          <cell r="E509">
            <v>1457</v>
          </cell>
          <cell r="F509" t="str">
            <v>WYMORE</v>
          </cell>
          <cell r="G509">
            <v>810045</v>
          </cell>
          <cell r="H509">
            <v>1147437</v>
          </cell>
          <cell r="I509">
            <v>473165</v>
          </cell>
          <cell r="J509">
            <v>25821305</v>
          </cell>
          <cell r="K509">
            <v>4551180</v>
          </cell>
          <cell r="L509">
            <v>0</v>
          </cell>
          <cell r="M509">
            <v>0</v>
          </cell>
          <cell r="N509">
            <v>65985</v>
          </cell>
          <cell r="O509">
            <v>0</v>
          </cell>
          <cell r="P509">
            <v>0</v>
          </cell>
          <cell r="Q509">
            <v>0</v>
          </cell>
          <cell r="R509">
            <v>32869117</v>
          </cell>
        </row>
        <row r="510">
          <cell r="B510">
            <v>34</v>
          </cell>
          <cell r="C510" t="str">
            <v>GAGE</v>
          </cell>
          <cell r="D510" t="str">
            <v>CITY OR VILLAGE</v>
          </cell>
        </row>
        <row r="511">
          <cell r="B511">
            <v>34</v>
          </cell>
          <cell r="C511" t="str">
            <v>GAGE</v>
          </cell>
          <cell r="D511" t="str">
            <v>CITY OR VILLAGE</v>
          </cell>
        </row>
        <row r="512">
          <cell r="B512">
            <v>34</v>
          </cell>
          <cell r="C512" t="str">
            <v>GAGE</v>
          </cell>
          <cell r="D512" t="str">
            <v>CITY OR VILLAGE</v>
          </cell>
        </row>
        <row r="513">
          <cell r="B513">
            <v>35</v>
          </cell>
          <cell r="C513" t="str">
            <v>GARDEN</v>
          </cell>
          <cell r="D513" t="str">
            <v>CITY OR VILLAGE</v>
          </cell>
          <cell r="E513">
            <v>224</v>
          </cell>
          <cell r="F513" t="str">
            <v>LEWELLEN</v>
          </cell>
          <cell r="G513">
            <v>18802</v>
          </cell>
          <cell r="H513">
            <v>673010</v>
          </cell>
          <cell r="I513">
            <v>2275671</v>
          </cell>
          <cell r="J513">
            <v>6070344</v>
          </cell>
          <cell r="K513">
            <v>954467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9992294</v>
          </cell>
        </row>
        <row r="514">
          <cell r="B514">
            <v>35</v>
          </cell>
          <cell r="C514" t="str">
            <v>GARDEN</v>
          </cell>
          <cell r="D514" t="str">
            <v>CITY OR VILLAGE</v>
          </cell>
          <cell r="E514">
            <v>884</v>
          </cell>
          <cell r="F514" t="str">
            <v>OSHKOSH</v>
          </cell>
          <cell r="G514">
            <v>593700</v>
          </cell>
          <cell r="H514">
            <v>1167988</v>
          </cell>
          <cell r="I514">
            <v>2627692</v>
          </cell>
          <cell r="J514">
            <v>21764773</v>
          </cell>
          <cell r="K514">
            <v>4854226</v>
          </cell>
          <cell r="L514">
            <v>0</v>
          </cell>
          <cell r="M514">
            <v>0</v>
          </cell>
          <cell r="N514">
            <v>17938</v>
          </cell>
          <cell r="O514">
            <v>0</v>
          </cell>
          <cell r="P514">
            <v>0</v>
          </cell>
          <cell r="Q514">
            <v>0</v>
          </cell>
          <cell r="R514">
            <v>31026317</v>
          </cell>
        </row>
        <row r="515">
          <cell r="B515">
            <v>35</v>
          </cell>
          <cell r="C515" t="str">
            <v>GARDEN</v>
          </cell>
          <cell r="D515" t="str">
            <v>CITY OR VILLAGE</v>
          </cell>
        </row>
        <row r="516">
          <cell r="B516">
            <v>35</v>
          </cell>
          <cell r="C516" t="str">
            <v>GARDEN</v>
          </cell>
          <cell r="D516" t="str">
            <v>CITY OR VILLAGE</v>
          </cell>
        </row>
        <row r="517">
          <cell r="B517">
            <v>35</v>
          </cell>
          <cell r="C517" t="str">
            <v>GARDEN</v>
          </cell>
          <cell r="D517" t="str">
            <v>CITY OR VILLAGE</v>
          </cell>
        </row>
        <row r="518">
          <cell r="B518">
            <v>35</v>
          </cell>
          <cell r="C518" t="str">
            <v>GARDEN</v>
          </cell>
          <cell r="D518" t="str">
            <v>CITY OR VILLAGE</v>
          </cell>
        </row>
        <row r="519">
          <cell r="B519">
            <v>35</v>
          </cell>
          <cell r="C519" t="str">
            <v>GARDEN</v>
          </cell>
          <cell r="D519" t="str">
            <v>CITY OR VILLAGE</v>
          </cell>
        </row>
        <row r="520">
          <cell r="B520">
            <v>35</v>
          </cell>
          <cell r="C520" t="str">
            <v>GARDEN</v>
          </cell>
          <cell r="D520" t="str">
            <v>CITY OR VILLAGE</v>
          </cell>
        </row>
        <row r="521">
          <cell r="B521">
            <v>35</v>
          </cell>
          <cell r="C521" t="str">
            <v>GARDEN</v>
          </cell>
          <cell r="D521" t="str">
            <v>CITY OR VILLAGE</v>
          </cell>
        </row>
        <row r="522">
          <cell r="B522">
            <v>35</v>
          </cell>
          <cell r="C522" t="str">
            <v>GARDEN</v>
          </cell>
          <cell r="D522" t="str">
            <v>CITY OR VILLAGE</v>
          </cell>
        </row>
        <row r="523">
          <cell r="B523">
            <v>35</v>
          </cell>
          <cell r="C523" t="str">
            <v>GARDEN</v>
          </cell>
          <cell r="D523" t="str">
            <v>CITY OR VILLAGE</v>
          </cell>
        </row>
        <row r="524">
          <cell r="B524">
            <v>35</v>
          </cell>
          <cell r="C524" t="str">
            <v>GARDEN</v>
          </cell>
          <cell r="D524" t="str">
            <v>CITY OR VILLAGE</v>
          </cell>
        </row>
        <row r="525">
          <cell r="B525">
            <v>35</v>
          </cell>
          <cell r="C525" t="str">
            <v>GARDEN</v>
          </cell>
          <cell r="D525" t="str">
            <v>CITY OR VILLAGE</v>
          </cell>
        </row>
        <row r="526">
          <cell r="B526">
            <v>35</v>
          </cell>
          <cell r="C526" t="str">
            <v>GARDEN</v>
          </cell>
          <cell r="D526" t="str">
            <v>CITY OR VILLAGE</v>
          </cell>
        </row>
        <row r="527">
          <cell r="B527">
            <v>35</v>
          </cell>
          <cell r="C527" t="str">
            <v>GARDEN</v>
          </cell>
          <cell r="D527" t="str">
            <v>CITY OR VILLAGE</v>
          </cell>
        </row>
        <row r="528">
          <cell r="B528">
            <v>36</v>
          </cell>
          <cell r="C528" t="str">
            <v>GARFIELD</v>
          </cell>
          <cell r="D528" t="str">
            <v>CITY OR VILLAGE</v>
          </cell>
          <cell r="E528">
            <v>1210</v>
          </cell>
          <cell r="F528" t="str">
            <v>BURWELL</v>
          </cell>
          <cell r="G528">
            <v>1569546</v>
          </cell>
          <cell r="H528">
            <v>1051038</v>
          </cell>
          <cell r="I528">
            <v>75566</v>
          </cell>
          <cell r="J528">
            <v>45980918</v>
          </cell>
          <cell r="K528">
            <v>8551864</v>
          </cell>
          <cell r="L528">
            <v>884422</v>
          </cell>
          <cell r="M528">
            <v>0</v>
          </cell>
          <cell r="N528">
            <v>373829</v>
          </cell>
          <cell r="O528">
            <v>0</v>
          </cell>
          <cell r="P528">
            <v>34196</v>
          </cell>
          <cell r="Q528">
            <v>0</v>
          </cell>
          <cell r="R528">
            <v>58521379</v>
          </cell>
        </row>
        <row r="529">
          <cell r="B529">
            <v>36</v>
          </cell>
          <cell r="C529" t="str">
            <v>GARFIELD</v>
          </cell>
          <cell r="D529" t="str">
            <v>CITY OR VILLAGE</v>
          </cell>
        </row>
        <row r="530">
          <cell r="B530">
            <v>36</v>
          </cell>
          <cell r="C530" t="str">
            <v>GARFIELD</v>
          </cell>
          <cell r="D530" t="str">
            <v>CITY OR VILLAGE</v>
          </cell>
        </row>
        <row r="531">
          <cell r="B531">
            <v>36</v>
          </cell>
          <cell r="C531" t="str">
            <v>GARFIELD</v>
          </cell>
          <cell r="D531" t="str">
            <v>CITY OR VILLAGE</v>
          </cell>
        </row>
        <row r="532">
          <cell r="B532">
            <v>36</v>
          </cell>
          <cell r="C532" t="str">
            <v>GARFIELD</v>
          </cell>
          <cell r="D532" t="str">
            <v>CITY OR VILLAGE</v>
          </cell>
        </row>
        <row r="533">
          <cell r="B533">
            <v>36</v>
          </cell>
          <cell r="C533" t="str">
            <v>GARFIELD</v>
          </cell>
          <cell r="D533" t="str">
            <v>CITY OR VILLAGE</v>
          </cell>
        </row>
        <row r="534">
          <cell r="B534">
            <v>36</v>
          </cell>
          <cell r="C534" t="str">
            <v>GARFIELD</v>
          </cell>
          <cell r="D534" t="str">
            <v>CITY OR VILLAGE</v>
          </cell>
        </row>
        <row r="535">
          <cell r="B535">
            <v>36</v>
          </cell>
          <cell r="C535" t="str">
            <v>GARFIELD</v>
          </cell>
          <cell r="D535" t="str">
            <v>CITY OR VILLAGE</v>
          </cell>
        </row>
        <row r="536">
          <cell r="B536">
            <v>36</v>
          </cell>
          <cell r="C536" t="str">
            <v>GARFIELD</v>
          </cell>
          <cell r="D536" t="str">
            <v>CITY OR VILLAGE</v>
          </cell>
        </row>
        <row r="537">
          <cell r="B537">
            <v>36</v>
          </cell>
          <cell r="C537" t="str">
            <v>GARFIELD</v>
          </cell>
          <cell r="D537" t="str">
            <v>CITY OR VILLAGE</v>
          </cell>
        </row>
        <row r="538">
          <cell r="B538">
            <v>36</v>
          </cell>
          <cell r="C538" t="str">
            <v>GARFIELD</v>
          </cell>
          <cell r="D538" t="str">
            <v>CITY OR VILLAGE</v>
          </cell>
        </row>
        <row r="539">
          <cell r="B539">
            <v>36</v>
          </cell>
          <cell r="C539" t="str">
            <v>GARFIELD</v>
          </cell>
          <cell r="D539" t="str">
            <v>CITY OR VILLAGE</v>
          </cell>
        </row>
        <row r="540">
          <cell r="B540">
            <v>36</v>
          </cell>
          <cell r="C540" t="str">
            <v>GARFIELD</v>
          </cell>
          <cell r="D540" t="str">
            <v>CITY OR VILLAGE</v>
          </cell>
        </row>
        <row r="541">
          <cell r="B541">
            <v>36</v>
          </cell>
          <cell r="C541" t="str">
            <v>GARFIELD</v>
          </cell>
          <cell r="D541" t="str">
            <v>CITY OR VILLAGE</v>
          </cell>
        </row>
        <row r="542">
          <cell r="B542">
            <v>36</v>
          </cell>
          <cell r="C542" t="str">
            <v>GARFIELD</v>
          </cell>
          <cell r="D542" t="str">
            <v>CITY OR VILLAGE</v>
          </cell>
        </row>
        <row r="543">
          <cell r="B543">
            <v>37</v>
          </cell>
          <cell r="C543" t="str">
            <v>GOSPER</v>
          </cell>
          <cell r="D543" t="str">
            <v>CITY OR VILLAGE</v>
          </cell>
          <cell r="E543">
            <v>707</v>
          </cell>
          <cell r="F543" t="str">
            <v>ELWOOD</v>
          </cell>
          <cell r="G543">
            <v>2794258</v>
          </cell>
          <cell r="H543">
            <v>572334</v>
          </cell>
          <cell r="I543">
            <v>108007</v>
          </cell>
          <cell r="J543">
            <v>26427900</v>
          </cell>
          <cell r="K543">
            <v>4936793</v>
          </cell>
          <cell r="L543">
            <v>1159114</v>
          </cell>
          <cell r="M543">
            <v>0</v>
          </cell>
          <cell r="N543">
            <v>101689</v>
          </cell>
          <cell r="O543">
            <v>0</v>
          </cell>
          <cell r="P543">
            <v>41585</v>
          </cell>
          <cell r="Q543">
            <v>0</v>
          </cell>
          <cell r="R543">
            <v>36141680</v>
          </cell>
        </row>
        <row r="544">
          <cell r="B544">
            <v>37</v>
          </cell>
          <cell r="C544" t="str">
            <v>GOSPER</v>
          </cell>
          <cell r="D544" t="str">
            <v>CITY OR VILLAGE</v>
          </cell>
          <cell r="E544">
            <v>54</v>
          </cell>
          <cell r="F544" t="str">
            <v>SMITHFIELD</v>
          </cell>
          <cell r="G544">
            <v>25794</v>
          </cell>
          <cell r="H544">
            <v>569</v>
          </cell>
          <cell r="I544">
            <v>11297</v>
          </cell>
          <cell r="J544">
            <v>1169958</v>
          </cell>
          <cell r="K544">
            <v>378333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1585951</v>
          </cell>
        </row>
        <row r="545">
          <cell r="B545">
            <v>37</v>
          </cell>
          <cell r="C545" t="str">
            <v>GOSPER</v>
          </cell>
          <cell r="D545" t="str">
            <v>CITY OR VILLAGE</v>
          </cell>
        </row>
        <row r="546">
          <cell r="B546">
            <v>37</v>
          </cell>
          <cell r="C546" t="str">
            <v>GOSPER</v>
          </cell>
          <cell r="D546" t="str">
            <v>CITY OR VILLAGE</v>
          </cell>
        </row>
        <row r="547">
          <cell r="B547">
            <v>37</v>
          </cell>
          <cell r="C547" t="str">
            <v>GOSPER</v>
          </cell>
          <cell r="D547" t="str">
            <v>CITY OR VILLAGE</v>
          </cell>
        </row>
        <row r="548">
          <cell r="B548">
            <v>37</v>
          </cell>
          <cell r="C548" t="str">
            <v>GOSPER</v>
          </cell>
          <cell r="D548" t="str">
            <v>CITY OR VILLAGE</v>
          </cell>
        </row>
        <row r="549">
          <cell r="B549">
            <v>37</v>
          </cell>
          <cell r="C549" t="str">
            <v>GOSPER</v>
          </cell>
          <cell r="D549" t="str">
            <v>CITY OR VILLAGE</v>
          </cell>
        </row>
        <row r="550">
          <cell r="B550">
            <v>37</v>
          </cell>
          <cell r="C550" t="str">
            <v>GOSPER</v>
          </cell>
          <cell r="D550" t="str">
            <v>CITY OR VILLAGE</v>
          </cell>
        </row>
        <row r="551">
          <cell r="B551">
            <v>37</v>
          </cell>
          <cell r="C551" t="str">
            <v>GOSPER</v>
          </cell>
          <cell r="D551" t="str">
            <v>CITY OR VILLAGE</v>
          </cell>
        </row>
        <row r="552">
          <cell r="B552">
            <v>37</v>
          </cell>
          <cell r="C552" t="str">
            <v>GOSPER</v>
          </cell>
          <cell r="D552" t="str">
            <v>CITY OR VILLAGE</v>
          </cell>
        </row>
        <row r="553">
          <cell r="B553">
            <v>37</v>
          </cell>
          <cell r="C553" t="str">
            <v>GOSPER</v>
          </cell>
          <cell r="D553" t="str">
            <v>CITY OR VILLAGE</v>
          </cell>
        </row>
        <row r="554">
          <cell r="B554">
            <v>37</v>
          </cell>
          <cell r="C554" t="str">
            <v>GOSPER</v>
          </cell>
          <cell r="D554" t="str">
            <v>CITY OR VILLAGE</v>
          </cell>
        </row>
        <row r="555">
          <cell r="B555">
            <v>37</v>
          </cell>
          <cell r="C555" t="str">
            <v>GOSPER</v>
          </cell>
          <cell r="D555" t="str">
            <v>CITY OR VILLAGE</v>
          </cell>
        </row>
        <row r="556">
          <cell r="B556">
            <v>37</v>
          </cell>
          <cell r="C556" t="str">
            <v>GOSPER</v>
          </cell>
          <cell r="D556" t="str">
            <v>CITY OR VILLAGE</v>
          </cell>
        </row>
        <row r="557">
          <cell r="B557">
            <v>37</v>
          </cell>
          <cell r="C557" t="str">
            <v>GOSPER</v>
          </cell>
          <cell r="D557" t="str">
            <v>CITY OR VILLAGE</v>
          </cell>
        </row>
        <row r="558">
          <cell r="B558">
            <v>38</v>
          </cell>
          <cell r="C558" t="str">
            <v>GRANT</v>
          </cell>
          <cell r="D558" t="str">
            <v>CITY OR VILLAGE</v>
          </cell>
          <cell r="E558">
            <v>182</v>
          </cell>
          <cell r="F558" t="str">
            <v>HYANNIS</v>
          </cell>
          <cell r="G558">
            <v>591599</v>
          </cell>
          <cell r="H558">
            <v>468832</v>
          </cell>
          <cell r="I558">
            <v>2034823</v>
          </cell>
          <cell r="J558">
            <v>4694494</v>
          </cell>
          <cell r="K558">
            <v>1388149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9177897</v>
          </cell>
        </row>
        <row r="559">
          <cell r="B559">
            <v>38</v>
          </cell>
          <cell r="C559" t="str">
            <v>GRANT</v>
          </cell>
          <cell r="D559" t="str">
            <v>CITY OR VILLAGE</v>
          </cell>
        </row>
        <row r="560">
          <cell r="B560">
            <v>38</v>
          </cell>
          <cell r="C560" t="str">
            <v>GRANT</v>
          </cell>
          <cell r="D560" t="str">
            <v>CITY OR VILLAGE</v>
          </cell>
        </row>
        <row r="561">
          <cell r="B561">
            <v>38</v>
          </cell>
          <cell r="C561" t="str">
            <v>GRANT</v>
          </cell>
          <cell r="D561" t="str">
            <v>CITY OR VILLAGE</v>
          </cell>
        </row>
        <row r="562">
          <cell r="B562">
            <v>38</v>
          </cell>
          <cell r="C562" t="str">
            <v>GRANT</v>
          </cell>
          <cell r="D562" t="str">
            <v>CITY OR VILLAGE</v>
          </cell>
        </row>
        <row r="563">
          <cell r="B563">
            <v>38</v>
          </cell>
          <cell r="C563" t="str">
            <v>GRANT</v>
          </cell>
          <cell r="D563" t="str">
            <v>CITY OR VILLAGE</v>
          </cell>
        </row>
        <row r="564">
          <cell r="B564">
            <v>38</v>
          </cell>
          <cell r="C564" t="str">
            <v>GRANT</v>
          </cell>
          <cell r="D564" t="str">
            <v>CITY OR VILLAGE</v>
          </cell>
        </row>
        <row r="565">
          <cell r="B565">
            <v>38</v>
          </cell>
          <cell r="C565" t="str">
            <v>GRANT</v>
          </cell>
          <cell r="D565" t="str">
            <v>CITY OR VILLAGE</v>
          </cell>
        </row>
        <row r="566">
          <cell r="B566">
            <v>38</v>
          </cell>
          <cell r="C566" t="str">
            <v>GRANT</v>
          </cell>
          <cell r="D566" t="str">
            <v>CITY OR VILLAGE</v>
          </cell>
        </row>
        <row r="567">
          <cell r="B567">
            <v>38</v>
          </cell>
          <cell r="C567" t="str">
            <v>GRANT</v>
          </cell>
          <cell r="D567" t="str">
            <v>CITY OR VILLAGE</v>
          </cell>
        </row>
        <row r="568">
          <cell r="B568">
            <v>38</v>
          </cell>
          <cell r="C568" t="str">
            <v>GRANT</v>
          </cell>
          <cell r="D568" t="str">
            <v>CITY OR VILLAGE</v>
          </cell>
        </row>
        <row r="569">
          <cell r="B569">
            <v>38</v>
          </cell>
          <cell r="C569" t="str">
            <v>GRANT</v>
          </cell>
          <cell r="D569" t="str">
            <v>CITY OR VILLAGE</v>
          </cell>
        </row>
        <row r="570">
          <cell r="B570">
            <v>38</v>
          </cell>
          <cell r="C570" t="str">
            <v>GRANT</v>
          </cell>
          <cell r="D570" t="str">
            <v>CITY OR VILLAGE</v>
          </cell>
        </row>
        <row r="571">
          <cell r="B571">
            <v>38</v>
          </cell>
          <cell r="C571" t="str">
            <v>GRANT</v>
          </cell>
          <cell r="D571" t="str">
            <v>CITY OR VILLAGE</v>
          </cell>
        </row>
        <row r="572">
          <cell r="B572">
            <v>38</v>
          </cell>
          <cell r="C572" t="str">
            <v>GRANT</v>
          </cell>
          <cell r="D572" t="str">
            <v>CITY OR VILLAGE</v>
          </cell>
        </row>
        <row r="573">
          <cell r="B573">
            <v>39</v>
          </cell>
          <cell r="C573" t="str">
            <v>GREELEY</v>
          </cell>
          <cell r="D573" t="str">
            <v>CITY OR VILLAGE</v>
          </cell>
          <cell r="E573">
            <v>466</v>
          </cell>
          <cell r="F573" t="str">
            <v>GREELEY</v>
          </cell>
          <cell r="G573">
            <v>819972</v>
          </cell>
          <cell r="H573">
            <v>235852</v>
          </cell>
          <cell r="I573">
            <v>26700</v>
          </cell>
          <cell r="J573">
            <v>9933390</v>
          </cell>
          <cell r="K573">
            <v>2550735</v>
          </cell>
          <cell r="L573">
            <v>0</v>
          </cell>
          <cell r="M573">
            <v>0</v>
          </cell>
          <cell r="N573">
            <v>79885</v>
          </cell>
          <cell r="O573">
            <v>0</v>
          </cell>
          <cell r="P573">
            <v>0</v>
          </cell>
          <cell r="Q573">
            <v>0</v>
          </cell>
          <cell r="R573">
            <v>13646534</v>
          </cell>
        </row>
        <row r="574">
          <cell r="B574">
            <v>39</v>
          </cell>
          <cell r="C574" t="str">
            <v>GREELEY</v>
          </cell>
          <cell r="D574" t="str">
            <v>CITY OR VILLAGE</v>
          </cell>
          <cell r="E574">
            <v>318</v>
          </cell>
          <cell r="F574" t="str">
            <v>SCOTIA</v>
          </cell>
          <cell r="G574">
            <v>439541</v>
          </cell>
          <cell r="H574">
            <v>241827</v>
          </cell>
          <cell r="I574">
            <v>17461</v>
          </cell>
          <cell r="J574">
            <v>8544635</v>
          </cell>
          <cell r="K574">
            <v>1284790</v>
          </cell>
          <cell r="L574">
            <v>0</v>
          </cell>
          <cell r="M574">
            <v>0</v>
          </cell>
          <cell r="N574">
            <v>82550</v>
          </cell>
          <cell r="O574">
            <v>0</v>
          </cell>
          <cell r="P574">
            <v>0</v>
          </cell>
          <cell r="Q574">
            <v>0</v>
          </cell>
          <cell r="R574">
            <v>10610804</v>
          </cell>
        </row>
        <row r="575">
          <cell r="B575">
            <v>39</v>
          </cell>
          <cell r="C575" t="str">
            <v>GREELEY</v>
          </cell>
          <cell r="D575" t="str">
            <v>CITY OR VILLAGE</v>
          </cell>
          <cell r="E575">
            <v>490</v>
          </cell>
          <cell r="F575" t="str">
            <v>SPALDING</v>
          </cell>
          <cell r="G575">
            <v>1378293</v>
          </cell>
          <cell r="H575">
            <v>565035</v>
          </cell>
          <cell r="I575">
            <v>583571</v>
          </cell>
          <cell r="J575">
            <v>14076575</v>
          </cell>
          <cell r="K575">
            <v>3299855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19903329</v>
          </cell>
        </row>
        <row r="576">
          <cell r="B576">
            <v>39</v>
          </cell>
          <cell r="C576" t="str">
            <v>GREELEY</v>
          </cell>
          <cell r="D576" t="str">
            <v>CITY OR VILLAGE</v>
          </cell>
          <cell r="E576">
            <v>283</v>
          </cell>
          <cell r="F576" t="str">
            <v>WOLBACH</v>
          </cell>
          <cell r="G576">
            <v>161137</v>
          </cell>
          <cell r="H576">
            <v>326606</v>
          </cell>
          <cell r="I576">
            <v>60565</v>
          </cell>
          <cell r="J576">
            <v>5889895</v>
          </cell>
          <cell r="K576">
            <v>779950</v>
          </cell>
          <cell r="L576">
            <v>0</v>
          </cell>
          <cell r="M576">
            <v>0</v>
          </cell>
          <cell r="N576">
            <v>2975</v>
          </cell>
          <cell r="O576">
            <v>0</v>
          </cell>
          <cell r="P576">
            <v>2000</v>
          </cell>
          <cell r="Q576">
            <v>0</v>
          </cell>
          <cell r="R576">
            <v>7223128</v>
          </cell>
        </row>
        <row r="577">
          <cell r="B577">
            <v>39</v>
          </cell>
          <cell r="C577" t="str">
            <v>GREELEY</v>
          </cell>
          <cell r="D577" t="str">
            <v>CITY OR VILLAGE</v>
          </cell>
        </row>
        <row r="578">
          <cell r="B578">
            <v>39</v>
          </cell>
          <cell r="C578" t="str">
            <v>GREELEY</v>
          </cell>
          <cell r="D578" t="str">
            <v>CITY OR VILLAGE</v>
          </cell>
        </row>
        <row r="579">
          <cell r="B579">
            <v>39</v>
          </cell>
          <cell r="C579" t="str">
            <v>GREELEY</v>
          </cell>
          <cell r="D579" t="str">
            <v>CITY OR VILLAGE</v>
          </cell>
        </row>
        <row r="580">
          <cell r="B580">
            <v>39</v>
          </cell>
          <cell r="C580" t="str">
            <v>GREELEY</v>
          </cell>
          <cell r="D580" t="str">
            <v>CITY OR VILLAGE</v>
          </cell>
        </row>
        <row r="581">
          <cell r="B581">
            <v>39</v>
          </cell>
          <cell r="C581" t="str">
            <v>GREELEY</v>
          </cell>
          <cell r="D581" t="str">
            <v>CITY OR VILLAGE</v>
          </cell>
        </row>
        <row r="582">
          <cell r="B582">
            <v>39</v>
          </cell>
          <cell r="C582" t="str">
            <v>GREELEY</v>
          </cell>
          <cell r="D582" t="str">
            <v>CITY OR VILLAGE</v>
          </cell>
        </row>
        <row r="583">
          <cell r="B583">
            <v>39</v>
          </cell>
          <cell r="C583" t="str">
            <v>GREELEY</v>
          </cell>
          <cell r="D583" t="str">
            <v>CITY OR VILLAGE</v>
          </cell>
        </row>
        <row r="584">
          <cell r="B584">
            <v>39</v>
          </cell>
          <cell r="C584" t="str">
            <v>GREELEY</v>
          </cell>
          <cell r="D584" t="str">
            <v>CITY OR VILLAGE</v>
          </cell>
        </row>
        <row r="585">
          <cell r="B585">
            <v>39</v>
          </cell>
          <cell r="C585" t="str">
            <v>GREELEY</v>
          </cell>
          <cell r="D585" t="str">
            <v>CITY OR VILLAGE</v>
          </cell>
        </row>
        <row r="586">
          <cell r="B586">
            <v>39</v>
          </cell>
          <cell r="C586" t="str">
            <v>GREELEY</v>
          </cell>
          <cell r="D586" t="str">
            <v>CITY OR VILLAGE</v>
          </cell>
        </row>
        <row r="587">
          <cell r="B587">
            <v>39</v>
          </cell>
          <cell r="C587" t="str">
            <v>GREELEY</v>
          </cell>
          <cell r="D587" t="str">
            <v>CITY OR VILLAGE</v>
          </cell>
        </row>
        <row r="588">
          <cell r="B588">
            <v>40</v>
          </cell>
          <cell r="C588" t="str">
            <v>HALL</v>
          </cell>
          <cell r="D588" t="str">
            <v>CITY OR VILLAGE</v>
          </cell>
          <cell r="E588">
            <v>642</v>
          </cell>
          <cell r="F588" t="str">
            <v>ALDA</v>
          </cell>
          <cell r="G588">
            <v>2827351</v>
          </cell>
          <cell r="H588">
            <v>437234</v>
          </cell>
          <cell r="I588">
            <v>1670514</v>
          </cell>
          <cell r="J588">
            <v>16735108</v>
          </cell>
          <cell r="K588">
            <v>5325378</v>
          </cell>
          <cell r="L588">
            <v>3875076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30870661</v>
          </cell>
        </row>
        <row r="589">
          <cell r="B589">
            <v>40</v>
          </cell>
          <cell r="C589" t="str">
            <v>HALL</v>
          </cell>
          <cell r="D589" t="str">
            <v>CITY OR VILLAGE</v>
          </cell>
          <cell r="E589">
            <v>785</v>
          </cell>
          <cell r="F589" t="str">
            <v>CAIRO</v>
          </cell>
          <cell r="G589">
            <v>506794</v>
          </cell>
          <cell r="H589">
            <v>714752</v>
          </cell>
          <cell r="I589">
            <v>2668179</v>
          </cell>
          <cell r="J589">
            <v>40076015</v>
          </cell>
          <cell r="K589">
            <v>5327979</v>
          </cell>
          <cell r="L589">
            <v>0</v>
          </cell>
          <cell r="M589">
            <v>0</v>
          </cell>
          <cell r="N589">
            <v>224854</v>
          </cell>
          <cell r="O589">
            <v>0</v>
          </cell>
          <cell r="P589">
            <v>0</v>
          </cell>
          <cell r="Q589">
            <v>0</v>
          </cell>
          <cell r="R589">
            <v>49518573</v>
          </cell>
        </row>
        <row r="590">
          <cell r="B590">
            <v>40</v>
          </cell>
          <cell r="C590" t="str">
            <v>HALL</v>
          </cell>
          <cell r="D590" t="str">
            <v>CITY OR VILLAGE</v>
          </cell>
          <cell r="E590">
            <v>829</v>
          </cell>
          <cell r="F590" t="str">
            <v>DONIPHAN</v>
          </cell>
          <cell r="G590">
            <v>1702468</v>
          </cell>
          <cell r="H590">
            <v>1309996</v>
          </cell>
          <cell r="I590">
            <v>68201</v>
          </cell>
          <cell r="J590">
            <v>36822706</v>
          </cell>
          <cell r="K590">
            <v>7786771</v>
          </cell>
          <cell r="L590">
            <v>2071998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49762140</v>
          </cell>
        </row>
        <row r="591">
          <cell r="B591">
            <v>40</v>
          </cell>
          <cell r="C591" t="str">
            <v>HALL</v>
          </cell>
          <cell r="D591" t="str">
            <v>CITY OR VILLAGE</v>
          </cell>
          <cell r="E591">
            <v>48664</v>
          </cell>
          <cell r="F591" t="str">
            <v>GRAND ISLAND</v>
          </cell>
          <cell r="G591">
            <v>147677193</v>
          </cell>
          <cell r="H591">
            <v>31890102</v>
          </cell>
          <cell r="I591">
            <v>57795442</v>
          </cell>
          <cell r="J591">
            <v>2033943564</v>
          </cell>
          <cell r="K591">
            <v>1047729244</v>
          </cell>
          <cell r="L591">
            <v>78503168</v>
          </cell>
          <cell r="M591">
            <v>0</v>
          </cell>
          <cell r="N591">
            <v>7987147</v>
          </cell>
          <cell r="O591">
            <v>1106526</v>
          </cell>
          <cell r="P591">
            <v>277651</v>
          </cell>
          <cell r="Q591">
            <v>0</v>
          </cell>
          <cell r="R591">
            <v>3406910037</v>
          </cell>
        </row>
        <row r="592">
          <cell r="B592">
            <v>40</v>
          </cell>
          <cell r="C592" t="str">
            <v>HALL</v>
          </cell>
          <cell r="D592" t="str">
            <v>CITY OR VILLAGE</v>
          </cell>
          <cell r="E592">
            <v>1065</v>
          </cell>
          <cell r="F592" t="str">
            <v>SHELTON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193728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193728</v>
          </cell>
        </row>
        <row r="593">
          <cell r="B593">
            <v>40</v>
          </cell>
          <cell r="C593" t="str">
            <v>HALL</v>
          </cell>
          <cell r="D593" t="str">
            <v>CITY OR VILLAGE</v>
          </cell>
          <cell r="E593">
            <v>1325</v>
          </cell>
          <cell r="F593" t="str">
            <v>WOOD RIVER</v>
          </cell>
          <cell r="G593">
            <v>25383182</v>
          </cell>
          <cell r="H593">
            <v>1177312</v>
          </cell>
          <cell r="I593">
            <v>3156466</v>
          </cell>
          <cell r="J593">
            <v>43885858</v>
          </cell>
          <cell r="K593">
            <v>38845502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112448320</v>
          </cell>
        </row>
        <row r="594">
          <cell r="B594">
            <v>40</v>
          </cell>
          <cell r="C594" t="str">
            <v>HALL</v>
          </cell>
          <cell r="D594" t="str">
            <v>CITY OR VILLAGE</v>
          </cell>
        </row>
        <row r="595">
          <cell r="B595">
            <v>40</v>
          </cell>
          <cell r="C595" t="str">
            <v>HALL</v>
          </cell>
          <cell r="D595" t="str">
            <v>CITY OR VILLAGE</v>
          </cell>
        </row>
        <row r="596">
          <cell r="B596">
            <v>40</v>
          </cell>
          <cell r="C596" t="str">
            <v>HALL</v>
          </cell>
          <cell r="D596" t="str">
            <v>CITY OR VILLAGE</v>
          </cell>
        </row>
        <row r="597">
          <cell r="B597">
            <v>40</v>
          </cell>
          <cell r="C597" t="str">
            <v>HALL</v>
          </cell>
          <cell r="D597" t="str">
            <v>CITY OR VILLAGE</v>
          </cell>
        </row>
        <row r="598">
          <cell r="B598">
            <v>40</v>
          </cell>
          <cell r="C598" t="str">
            <v>HALL</v>
          </cell>
          <cell r="D598" t="str">
            <v>CITY OR VILLAGE</v>
          </cell>
        </row>
        <row r="599">
          <cell r="B599">
            <v>40</v>
          </cell>
          <cell r="C599" t="str">
            <v>HALL</v>
          </cell>
          <cell r="D599" t="str">
            <v>CITY OR VILLAGE</v>
          </cell>
        </row>
        <row r="600">
          <cell r="B600">
            <v>40</v>
          </cell>
          <cell r="C600" t="str">
            <v>HALL</v>
          </cell>
          <cell r="D600" t="str">
            <v>CITY OR VILLAGE</v>
          </cell>
        </row>
        <row r="601">
          <cell r="B601">
            <v>40</v>
          </cell>
          <cell r="C601" t="str">
            <v>HALL</v>
          </cell>
          <cell r="D601" t="str">
            <v>CITY OR VILLAGE</v>
          </cell>
        </row>
        <row r="602">
          <cell r="B602">
            <v>40</v>
          </cell>
          <cell r="C602" t="str">
            <v>HALL</v>
          </cell>
          <cell r="D602" t="str">
            <v>CITY OR VILLAGE</v>
          </cell>
        </row>
        <row r="603">
          <cell r="B603">
            <v>41</v>
          </cell>
          <cell r="C603" t="str">
            <v>HAMILTON</v>
          </cell>
          <cell r="D603" t="str">
            <v>CITY OR VILLAGE</v>
          </cell>
          <cell r="E603">
            <v>4479</v>
          </cell>
          <cell r="F603" t="str">
            <v>AURORA</v>
          </cell>
          <cell r="G603">
            <v>45902984</v>
          </cell>
          <cell r="H603">
            <v>4495117</v>
          </cell>
          <cell r="I603">
            <v>5070801</v>
          </cell>
          <cell r="J603">
            <v>249550795</v>
          </cell>
          <cell r="K603">
            <v>70252930</v>
          </cell>
          <cell r="L603">
            <v>51368205</v>
          </cell>
          <cell r="M603">
            <v>0</v>
          </cell>
          <cell r="N603">
            <v>14210</v>
          </cell>
          <cell r="O603">
            <v>0</v>
          </cell>
          <cell r="P603">
            <v>0</v>
          </cell>
          <cell r="Q603">
            <v>0</v>
          </cell>
          <cell r="R603">
            <v>426655042</v>
          </cell>
        </row>
        <row r="604">
          <cell r="B604">
            <v>41</v>
          </cell>
          <cell r="C604" t="str">
            <v>HAMILTON</v>
          </cell>
          <cell r="D604" t="str">
            <v>CITY OR VILLAGE</v>
          </cell>
          <cell r="E604">
            <v>352</v>
          </cell>
          <cell r="F604" t="str">
            <v>GILTNER</v>
          </cell>
          <cell r="G604">
            <v>828280</v>
          </cell>
          <cell r="H604">
            <v>440365</v>
          </cell>
          <cell r="I604">
            <v>242757</v>
          </cell>
          <cell r="J604">
            <v>16922465</v>
          </cell>
          <cell r="K604">
            <v>4931525</v>
          </cell>
          <cell r="L604">
            <v>0</v>
          </cell>
          <cell r="M604">
            <v>0</v>
          </cell>
          <cell r="N604">
            <v>0</v>
          </cell>
          <cell r="O604">
            <v>35000</v>
          </cell>
          <cell r="P604">
            <v>136865</v>
          </cell>
          <cell r="Q604">
            <v>0</v>
          </cell>
          <cell r="R604">
            <v>23537257</v>
          </cell>
        </row>
        <row r="605">
          <cell r="B605">
            <v>41</v>
          </cell>
          <cell r="C605" t="str">
            <v>HAMILTON</v>
          </cell>
          <cell r="D605" t="str">
            <v>CITY OR VILLAGE</v>
          </cell>
          <cell r="E605">
            <v>423</v>
          </cell>
          <cell r="F605" t="str">
            <v>HAMPTON</v>
          </cell>
          <cell r="G605">
            <v>369868</v>
          </cell>
          <cell r="H605">
            <v>565685</v>
          </cell>
          <cell r="I605">
            <v>867417</v>
          </cell>
          <cell r="J605">
            <v>20288795</v>
          </cell>
          <cell r="K605">
            <v>5652900</v>
          </cell>
          <cell r="L605">
            <v>0</v>
          </cell>
          <cell r="M605">
            <v>0</v>
          </cell>
          <cell r="N605">
            <v>82670</v>
          </cell>
          <cell r="O605">
            <v>0</v>
          </cell>
          <cell r="P605">
            <v>0</v>
          </cell>
          <cell r="Q605">
            <v>0</v>
          </cell>
          <cell r="R605">
            <v>27827335</v>
          </cell>
        </row>
        <row r="606">
          <cell r="B606">
            <v>41</v>
          </cell>
          <cell r="C606" t="str">
            <v>HAMILTON</v>
          </cell>
          <cell r="D606" t="str">
            <v>CITY OR VILLAGE</v>
          </cell>
          <cell r="E606">
            <v>144</v>
          </cell>
          <cell r="F606" t="str">
            <v>HORDVILLE</v>
          </cell>
          <cell r="G606">
            <v>443312</v>
          </cell>
          <cell r="H606">
            <v>285973</v>
          </cell>
          <cell r="I606">
            <v>479184</v>
          </cell>
          <cell r="J606">
            <v>3907345</v>
          </cell>
          <cell r="K606">
            <v>1931590</v>
          </cell>
          <cell r="L606">
            <v>0</v>
          </cell>
          <cell r="M606">
            <v>0</v>
          </cell>
          <cell r="N606">
            <v>73350</v>
          </cell>
          <cell r="O606">
            <v>0</v>
          </cell>
          <cell r="P606">
            <v>0</v>
          </cell>
          <cell r="Q606">
            <v>0</v>
          </cell>
          <cell r="R606">
            <v>7120754</v>
          </cell>
        </row>
        <row r="607">
          <cell r="B607">
            <v>41</v>
          </cell>
          <cell r="C607" t="str">
            <v>HAMILTON</v>
          </cell>
          <cell r="D607" t="str">
            <v>CITY OR VILLAGE</v>
          </cell>
          <cell r="E607">
            <v>229</v>
          </cell>
          <cell r="F607" t="str">
            <v>MARQUETTE</v>
          </cell>
          <cell r="G607">
            <v>85826</v>
          </cell>
          <cell r="H607">
            <v>589877</v>
          </cell>
          <cell r="I607">
            <v>52982</v>
          </cell>
          <cell r="J607">
            <v>6286080</v>
          </cell>
          <cell r="K607">
            <v>1787085</v>
          </cell>
          <cell r="L607">
            <v>0</v>
          </cell>
          <cell r="M607">
            <v>640</v>
          </cell>
          <cell r="N607">
            <v>62175</v>
          </cell>
          <cell r="O607">
            <v>0</v>
          </cell>
          <cell r="P607">
            <v>0</v>
          </cell>
          <cell r="Q607">
            <v>0</v>
          </cell>
          <cell r="R607">
            <v>8864665</v>
          </cell>
        </row>
        <row r="608">
          <cell r="B608">
            <v>41</v>
          </cell>
          <cell r="C608" t="str">
            <v>HAMILTON</v>
          </cell>
          <cell r="D608" t="str">
            <v>CITY OR VILLAGE</v>
          </cell>
          <cell r="E608">
            <v>287</v>
          </cell>
          <cell r="F608" t="str">
            <v>PHILLIPS</v>
          </cell>
          <cell r="G608">
            <v>55289</v>
          </cell>
          <cell r="H608">
            <v>1129806</v>
          </cell>
          <cell r="I608">
            <v>2196754</v>
          </cell>
          <cell r="J608">
            <v>12361580</v>
          </cell>
          <cell r="K608">
            <v>457875</v>
          </cell>
          <cell r="L608">
            <v>0</v>
          </cell>
          <cell r="M608">
            <v>0</v>
          </cell>
          <cell r="N608">
            <v>170035</v>
          </cell>
          <cell r="O608">
            <v>0</v>
          </cell>
          <cell r="P608">
            <v>0</v>
          </cell>
          <cell r="Q608">
            <v>0</v>
          </cell>
          <cell r="R608">
            <v>16371339</v>
          </cell>
        </row>
        <row r="609">
          <cell r="B609">
            <v>41</v>
          </cell>
          <cell r="C609" t="str">
            <v>HAMILTON</v>
          </cell>
          <cell r="D609" t="str">
            <v>CITY OR VILLAGE</v>
          </cell>
          <cell r="E609">
            <v>44</v>
          </cell>
          <cell r="F609" t="str">
            <v>STOCKHAM</v>
          </cell>
          <cell r="G609">
            <v>18013</v>
          </cell>
          <cell r="H609">
            <v>0</v>
          </cell>
          <cell r="I609">
            <v>0</v>
          </cell>
          <cell r="J609">
            <v>1205765</v>
          </cell>
          <cell r="K609">
            <v>102120</v>
          </cell>
          <cell r="L609">
            <v>0</v>
          </cell>
          <cell r="M609">
            <v>0</v>
          </cell>
          <cell r="N609">
            <v>59580</v>
          </cell>
          <cell r="O609">
            <v>0</v>
          </cell>
          <cell r="P609">
            <v>0</v>
          </cell>
          <cell r="Q609">
            <v>0</v>
          </cell>
          <cell r="R609">
            <v>1385478</v>
          </cell>
        </row>
        <row r="610">
          <cell r="B610">
            <v>41</v>
          </cell>
          <cell r="C610" t="str">
            <v>HAMILTON</v>
          </cell>
          <cell r="D610" t="str">
            <v>CITY OR VILLAGE</v>
          </cell>
        </row>
        <row r="611">
          <cell r="B611">
            <v>41</v>
          </cell>
          <cell r="C611" t="str">
            <v>HAMILTON</v>
          </cell>
          <cell r="D611" t="str">
            <v>CITY OR VILLAGE</v>
          </cell>
        </row>
        <row r="612">
          <cell r="B612">
            <v>41</v>
          </cell>
          <cell r="C612" t="str">
            <v>HAMILTON</v>
          </cell>
          <cell r="D612" t="str">
            <v>CITY OR VILLAGE</v>
          </cell>
        </row>
        <row r="613">
          <cell r="B613">
            <v>41</v>
          </cell>
          <cell r="C613" t="str">
            <v>HAMILTON</v>
          </cell>
          <cell r="D613" t="str">
            <v>CITY OR VILLAGE</v>
          </cell>
        </row>
        <row r="614">
          <cell r="B614">
            <v>41</v>
          </cell>
          <cell r="C614" t="str">
            <v>HAMILTON</v>
          </cell>
          <cell r="D614" t="str">
            <v>CITY OR VILLAGE</v>
          </cell>
        </row>
        <row r="615">
          <cell r="B615">
            <v>41</v>
          </cell>
          <cell r="C615" t="str">
            <v>HAMILTON</v>
          </cell>
          <cell r="D615" t="str">
            <v>CITY OR VILLAGE</v>
          </cell>
        </row>
        <row r="616">
          <cell r="B616">
            <v>41</v>
          </cell>
          <cell r="C616" t="str">
            <v>HAMILTON</v>
          </cell>
          <cell r="D616" t="str">
            <v>CITY OR VILLAGE</v>
          </cell>
        </row>
        <row r="617">
          <cell r="B617">
            <v>41</v>
          </cell>
          <cell r="C617" t="str">
            <v>HAMILTON</v>
          </cell>
          <cell r="D617" t="str">
            <v>CITY OR VILLAGE</v>
          </cell>
        </row>
        <row r="618">
          <cell r="B618">
            <v>42</v>
          </cell>
          <cell r="C618" t="str">
            <v>HARLAN</v>
          </cell>
          <cell r="D618" t="str">
            <v>CITY OR VILLAGE</v>
          </cell>
          <cell r="E618">
            <v>1153</v>
          </cell>
          <cell r="F618" t="str">
            <v>ALMA</v>
          </cell>
          <cell r="G618">
            <v>728373</v>
          </cell>
          <cell r="H618">
            <v>356244</v>
          </cell>
          <cell r="I618">
            <v>57136</v>
          </cell>
          <cell r="J618">
            <v>47231529</v>
          </cell>
          <cell r="K618">
            <v>15328084</v>
          </cell>
          <cell r="L618">
            <v>0</v>
          </cell>
          <cell r="M618">
            <v>0</v>
          </cell>
          <cell r="N618">
            <v>62328</v>
          </cell>
          <cell r="O618">
            <v>0</v>
          </cell>
          <cell r="P618">
            <v>0</v>
          </cell>
          <cell r="Q618">
            <v>0</v>
          </cell>
          <cell r="R618">
            <v>63763694</v>
          </cell>
        </row>
        <row r="619">
          <cell r="B619">
            <v>42</v>
          </cell>
          <cell r="C619" t="str">
            <v>HARLAN</v>
          </cell>
          <cell r="D619" t="str">
            <v>CITY OR VILLAGE</v>
          </cell>
          <cell r="E619">
            <v>44</v>
          </cell>
          <cell r="F619" t="str">
            <v>HUNTLEY</v>
          </cell>
          <cell r="G619">
            <v>35557</v>
          </cell>
          <cell r="H619">
            <v>56776</v>
          </cell>
          <cell r="I619">
            <v>13328</v>
          </cell>
          <cell r="J619">
            <v>833003</v>
          </cell>
          <cell r="K619">
            <v>135972</v>
          </cell>
          <cell r="L619">
            <v>0</v>
          </cell>
          <cell r="M619">
            <v>0</v>
          </cell>
          <cell r="N619">
            <v>97445</v>
          </cell>
          <cell r="O619">
            <v>0</v>
          </cell>
          <cell r="P619">
            <v>0</v>
          </cell>
          <cell r="Q619">
            <v>0</v>
          </cell>
          <cell r="R619">
            <v>1172081</v>
          </cell>
        </row>
        <row r="620">
          <cell r="B620">
            <v>42</v>
          </cell>
          <cell r="C620" t="str">
            <v>HARLAN</v>
          </cell>
          <cell r="D620" t="str">
            <v>CITY OR VILLAGE</v>
          </cell>
          <cell r="E620">
            <v>386</v>
          </cell>
          <cell r="F620" t="str">
            <v>ORLEANS</v>
          </cell>
          <cell r="G620">
            <v>142537</v>
          </cell>
          <cell r="H620">
            <v>433473</v>
          </cell>
          <cell r="I620">
            <v>80077</v>
          </cell>
          <cell r="J620">
            <v>8409290</v>
          </cell>
          <cell r="K620">
            <v>1173117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4000</v>
          </cell>
          <cell r="Q620">
            <v>0</v>
          </cell>
          <cell r="R620">
            <v>10242494</v>
          </cell>
        </row>
        <row r="621">
          <cell r="B621">
            <v>42</v>
          </cell>
          <cell r="C621" t="str">
            <v>HARLAN</v>
          </cell>
          <cell r="D621" t="str">
            <v>CITY OR VILLAGE</v>
          </cell>
          <cell r="E621">
            <v>779</v>
          </cell>
          <cell r="F621" t="str">
            <v>OXFORD</v>
          </cell>
          <cell r="G621">
            <v>166517</v>
          </cell>
          <cell r="H621">
            <v>154904</v>
          </cell>
          <cell r="I621">
            <v>431925</v>
          </cell>
          <cell r="J621">
            <v>5221524</v>
          </cell>
          <cell r="K621">
            <v>1049518</v>
          </cell>
          <cell r="L621">
            <v>0</v>
          </cell>
          <cell r="M621">
            <v>0</v>
          </cell>
          <cell r="N621">
            <v>85589</v>
          </cell>
          <cell r="O621">
            <v>41450</v>
          </cell>
          <cell r="P621">
            <v>9695</v>
          </cell>
          <cell r="Q621">
            <v>0</v>
          </cell>
          <cell r="R621">
            <v>7161122</v>
          </cell>
        </row>
        <row r="622">
          <cell r="B622">
            <v>42</v>
          </cell>
          <cell r="C622" t="str">
            <v>HARLAN</v>
          </cell>
          <cell r="D622" t="str">
            <v>CITY OR VILLAGE</v>
          </cell>
          <cell r="E622">
            <v>38</v>
          </cell>
          <cell r="F622" t="str">
            <v>RAGAN</v>
          </cell>
          <cell r="G622">
            <v>59673</v>
          </cell>
          <cell r="H622">
            <v>196514</v>
          </cell>
          <cell r="I622">
            <v>34836</v>
          </cell>
          <cell r="J622">
            <v>753380</v>
          </cell>
          <cell r="K622">
            <v>2513953</v>
          </cell>
          <cell r="L622">
            <v>0</v>
          </cell>
          <cell r="M622">
            <v>0</v>
          </cell>
          <cell r="N622">
            <v>101526</v>
          </cell>
          <cell r="O622">
            <v>0</v>
          </cell>
          <cell r="P622">
            <v>0</v>
          </cell>
          <cell r="Q622">
            <v>0</v>
          </cell>
          <cell r="R622">
            <v>3659882</v>
          </cell>
        </row>
        <row r="623">
          <cell r="B623">
            <v>42</v>
          </cell>
          <cell r="C623" t="str">
            <v>HARLAN</v>
          </cell>
          <cell r="D623" t="str">
            <v>CITY OR VILLAGE</v>
          </cell>
          <cell r="E623">
            <v>150</v>
          </cell>
          <cell r="F623" t="str">
            <v>REPUBLICAN CITY</v>
          </cell>
          <cell r="G623">
            <v>24173</v>
          </cell>
          <cell r="H623">
            <v>381536</v>
          </cell>
          <cell r="I623">
            <v>72401</v>
          </cell>
          <cell r="J623">
            <v>13179622</v>
          </cell>
          <cell r="K623">
            <v>2293831</v>
          </cell>
          <cell r="L623">
            <v>0</v>
          </cell>
          <cell r="M623">
            <v>161195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16112758</v>
          </cell>
        </row>
        <row r="624">
          <cell r="B624">
            <v>42</v>
          </cell>
          <cell r="C624" t="str">
            <v>HARLAN</v>
          </cell>
          <cell r="D624" t="str">
            <v>CITY OR VILLAGE</v>
          </cell>
          <cell r="E624">
            <v>183</v>
          </cell>
          <cell r="F624" t="str">
            <v>STAMFORD</v>
          </cell>
          <cell r="G624">
            <v>31856</v>
          </cell>
          <cell r="H624">
            <v>105011</v>
          </cell>
          <cell r="I624">
            <v>36340</v>
          </cell>
          <cell r="J624">
            <v>3020979</v>
          </cell>
          <cell r="K624">
            <v>289496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3483682</v>
          </cell>
        </row>
        <row r="625">
          <cell r="B625">
            <v>42</v>
          </cell>
          <cell r="C625" t="str">
            <v>HARLAN</v>
          </cell>
          <cell r="D625" t="str">
            <v>CITY OR VILLAGE</v>
          </cell>
        </row>
        <row r="626">
          <cell r="B626">
            <v>42</v>
          </cell>
          <cell r="C626" t="str">
            <v>HARLAN</v>
          </cell>
          <cell r="D626" t="str">
            <v>CITY OR VILLAGE</v>
          </cell>
        </row>
        <row r="627">
          <cell r="B627">
            <v>42</v>
          </cell>
          <cell r="C627" t="str">
            <v>HARLAN</v>
          </cell>
          <cell r="D627" t="str">
            <v>CITY OR VILLAGE</v>
          </cell>
        </row>
        <row r="628">
          <cell r="B628">
            <v>42</v>
          </cell>
          <cell r="C628" t="str">
            <v>HARLAN</v>
          </cell>
          <cell r="D628" t="str">
            <v>CITY OR VILLAGE</v>
          </cell>
        </row>
        <row r="629">
          <cell r="B629">
            <v>42</v>
          </cell>
          <cell r="C629" t="str">
            <v>HARLAN</v>
          </cell>
          <cell r="D629" t="str">
            <v>CITY OR VILLAGE</v>
          </cell>
        </row>
        <row r="630">
          <cell r="B630">
            <v>42</v>
          </cell>
          <cell r="C630" t="str">
            <v>HARLAN</v>
          </cell>
          <cell r="D630" t="str">
            <v>CITY OR VILLAGE</v>
          </cell>
        </row>
        <row r="631">
          <cell r="B631">
            <v>42</v>
          </cell>
          <cell r="C631" t="str">
            <v>HARLAN</v>
          </cell>
          <cell r="D631" t="str">
            <v>CITY OR VILLAGE</v>
          </cell>
        </row>
        <row r="632">
          <cell r="B632">
            <v>42</v>
          </cell>
          <cell r="C632" t="str">
            <v>HARLAN</v>
          </cell>
          <cell r="D632" t="str">
            <v>CITY OR VILLAGE</v>
          </cell>
        </row>
        <row r="633">
          <cell r="B633">
            <v>43</v>
          </cell>
          <cell r="C633" t="str">
            <v>HAYES</v>
          </cell>
          <cell r="D633" t="str">
            <v>CITY OR VILLAGE</v>
          </cell>
          <cell r="E633">
            <v>57</v>
          </cell>
          <cell r="F633" t="str">
            <v>HAMLET</v>
          </cell>
          <cell r="G633">
            <v>205</v>
          </cell>
          <cell r="H633">
            <v>59067</v>
          </cell>
          <cell r="I633">
            <v>297875</v>
          </cell>
          <cell r="J633">
            <v>677645</v>
          </cell>
          <cell r="K633">
            <v>307000</v>
          </cell>
          <cell r="L633">
            <v>0</v>
          </cell>
          <cell r="M633">
            <v>0</v>
          </cell>
          <cell r="N633">
            <v>17045</v>
          </cell>
          <cell r="O633">
            <v>0</v>
          </cell>
          <cell r="P633">
            <v>2795</v>
          </cell>
          <cell r="Q633">
            <v>0</v>
          </cell>
          <cell r="R633">
            <v>1361632</v>
          </cell>
        </row>
        <row r="634">
          <cell r="B634">
            <v>43</v>
          </cell>
          <cell r="C634" t="str">
            <v>HAYES</v>
          </cell>
          <cell r="D634" t="str">
            <v>CITY OR VILLAGE</v>
          </cell>
          <cell r="E634">
            <v>214</v>
          </cell>
          <cell r="F634" t="str">
            <v>HAYES CENTER</v>
          </cell>
          <cell r="G634">
            <v>107770</v>
          </cell>
          <cell r="H634">
            <v>161758</v>
          </cell>
          <cell r="I634">
            <v>35822</v>
          </cell>
          <cell r="J634">
            <v>5700190</v>
          </cell>
          <cell r="K634">
            <v>1513350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7518890</v>
          </cell>
        </row>
        <row r="635">
          <cell r="B635">
            <v>43</v>
          </cell>
          <cell r="C635" t="str">
            <v>HAYES</v>
          </cell>
          <cell r="D635" t="str">
            <v>CITY OR VILLAGE</v>
          </cell>
          <cell r="E635">
            <v>351</v>
          </cell>
          <cell r="F635" t="str">
            <v>PALISADE</v>
          </cell>
          <cell r="G635">
            <v>1726</v>
          </cell>
          <cell r="H635">
            <v>6470</v>
          </cell>
          <cell r="I635">
            <v>818</v>
          </cell>
          <cell r="J635">
            <v>367255</v>
          </cell>
          <cell r="K635">
            <v>26845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403114</v>
          </cell>
        </row>
        <row r="636">
          <cell r="B636">
            <v>43</v>
          </cell>
          <cell r="C636" t="str">
            <v>HAYES</v>
          </cell>
          <cell r="D636" t="str">
            <v>CITY OR VILLAGE</v>
          </cell>
        </row>
        <row r="637">
          <cell r="B637">
            <v>43</v>
          </cell>
          <cell r="C637" t="str">
            <v>HAYES</v>
          </cell>
          <cell r="D637" t="str">
            <v>CITY OR VILLAGE</v>
          </cell>
        </row>
        <row r="638">
          <cell r="B638">
            <v>43</v>
          </cell>
          <cell r="C638" t="str">
            <v>HAYES</v>
          </cell>
          <cell r="D638" t="str">
            <v>CITY OR VILLAGE</v>
          </cell>
        </row>
        <row r="639">
          <cell r="B639">
            <v>43</v>
          </cell>
          <cell r="C639" t="str">
            <v>HAYES</v>
          </cell>
          <cell r="D639" t="str">
            <v>CITY OR VILLAGE</v>
          </cell>
        </row>
        <row r="640">
          <cell r="B640">
            <v>43</v>
          </cell>
          <cell r="C640" t="str">
            <v>HAYES</v>
          </cell>
          <cell r="D640" t="str">
            <v>CITY OR VILLAGE</v>
          </cell>
        </row>
        <row r="641">
          <cell r="B641">
            <v>43</v>
          </cell>
          <cell r="C641" t="str">
            <v>HAYES</v>
          </cell>
          <cell r="D641" t="str">
            <v>CITY OR VILLAGE</v>
          </cell>
        </row>
        <row r="642">
          <cell r="B642">
            <v>43</v>
          </cell>
          <cell r="C642" t="str">
            <v>HAYES</v>
          </cell>
          <cell r="D642" t="str">
            <v>CITY OR VILLAGE</v>
          </cell>
        </row>
        <row r="643">
          <cell r="B643">
            <v>43</v>
          </cell>
          <cell r="C643" t="str">
            <v>HAYES</v>
          </cell>
          <cell r="D643" t="str">
            <v>CITY OR VILLAGE</v>
          </cell>
        </row>
        <row r="644">
          <cell r="B644">
            <v>43</v>
          </cell>
          <cell r="C644" t="str">
            <v>HAYES</v>
          </cell>
          <cell r="D644" t="str">
            <v>CITY OR VILLAGE</v>
          </cell>
        </row>
        <row r="645">
          <cell r="B645">
            <v>43</v>
          </cell>
          <cell r="C645" t="str">
            <v>HAYES</v>
          </cell>
          <cell r="D645" t="str">
            <v>CITY OR VILLAGE</v>
          </cell>
        </row>
        <row r="646">
          <cell r="B646">
            <v>43</v>
          </cell>
          <cell r="C646" t="str">
            <v>HAYES</v>
          </cell>
          <cell r="D646" t="str">
            <v>CITY OR VILLAGE</v>
          </cell>
        </row>
        <row r="647">
          <cell r="B647">
            <v>43</v>
          </cell>
          <cell r="C647" t="str">
            <v>HAYES</v>
          </cell>
          <cell r="D647" t="str">
            <v>CITY OR VILLAGE</v>
          </cell>
        </row>
        <row r="648">
          <cell r="B648">
            <v>44</v>
          </cell>
          <cell r="C648" t="str">
            <v>HITCHCOCK</v>
          </cell>
          <cell r="D648" t="str">
            <v>CITY OR VILLAGE</v>
          </cell>
          <cell r="E648">
            <v>595</v>
          </cell>
          <cell r="F648" t="str">
            <v>CULBERTSON</v>
          </cell>
          <cell r="G648">
            <v>2842464</v>
          </cell>
          <cell r="H648">
            <v>561545</v>
          </cell>
          <cell r="I648">
            <v>1449506</v>
          </cell>
          <cell r="J648">
            <v>14431470</v>
          </cell>
          <cell r="K648">
            <v>4169700</v>
          </cell>
          <cell r="L648">
            <v>5436955</v>
          </cell>
          <cell r="M648">
            <v>0</v>
          </cell>
          <cell r="N648">
            <v>111890</v>
          </cell>
          <cell r="O648">
            <v>239395</v>
          </cell>
          <cell r="P648">
            <v>35650</v>
          </cell>
          <cell r="Q648">
            <v>0</v>
          </cell>
          <cell r="R648">
            <v>29278575</v>
          </cell>
        </row>
        <row r="649">
          <cell r="B649">
            <v>44</v>
          </cell>
          <cell r="C649" t="str">
            <v>HITCHCOCK</v>
          </cell>
          <cell r="D649" t="str">
            <v>CITY OR VILLAGE</v>
          </cell>
          <cell r="E649">
            <v>351</v>
          </cell>
          <cell r="F649" t="str">
            <v>PALISADE</v>
          </cell>
          <cell r="G649">
            <v>201984</v>
          </cell>
          <cell r="H649">
            <v>508525</v>
          </cell>
          <cell r="I649">
            <v>623266</v>
          </cell>
          <cell r="J649">
            <v>6690935</v>
          </cell>
          <cell r="K649">
            <v>2827260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10851970</v>
          </cell>
        </row>
        <row r="650">
          <cell r="B650">
            <v>44</v>
          </cell>
          <cell r="C650" t="str">
            <v>HITCHCOCK</v>
          </cell>
          <cell r="D650" t="str">
            <v>CITY OR VILLAGE</v>
          </cell>
          <cell r="E650">
            <v>343</v>
          </cell>
          <cell r="F650" t="str">
            <v>STRATTON</v>
          </cell>
          <cell r="G650">
            <v>159335</v>
          </cell>
          <cell r="H650">
            <v>419899</v>
          </cell>
          <cell r="I650">
            <v>998971</v>
          </cell>
          <cell r="J650">
            <v>9298095</v>
          </cell>
          <cell r="K650">
            <v>2104360</v>
          </cell>
          <cell r="L650">
            <v>0</v>
          </cell>
          <cell r="M650">
            <v>0</v>
          </cell>
          <cell r="N650">
            <v>19305</v>
          </cell>
          <cell r="O650">
            <v>0</v>
          </cell>
          <cell r="P650">
            <v>1000</v>
          </cell>
          <cell r="Q650">
            <v>0</v>
          </cell>
          <cell r="R650">
            <v>13000965</v>
          </cell>
        </row>
        <row r="651">
          <cell r="B651">
            <v>44</v>
          </cell>
          <cell r="C651" t="str">
            <v>HITCHCOCK</v>
          </cell>
          <cell r="D651" t="str">
            <v>CITY OR VILLAGE</v>
          </cell>
          <cell r="E651">
            <v>560</v>
          </cell>
          <cell r="F651" t="str">
            <v>TRENTON</v>
          </cell>
          <cell r="G651">
            <v>575142</v>
          </cell>
          <cell r="H651">
            <v>615819</v>
          </cell>
          <cell r="I651">
            <v>1159429</v>
          </cell>
          <cell r="J651">
            <v>10344775</v>
          </cell>
          <cell r="K651">
            <v>2755750</v>
          </cell>
          <cell r="L651">
            <v>0</v>
          </cell>
          <cell r="M651">
            <v>0</v>
          </cell>
          <cell r="N651">
            <v>13600</v>
          </cell>
          <cell r="O651">
            <v>0</v>
          </cell>
          <cell r="P651">
            <v>72295</v>
          </cell>
          <cell r="Q651">
            <v>0</v>
          </cell>
          <cell r="R651">
            <v>15536810</v>
          </cell>
        </row>
        <row r="652">
          <cell r="B652">
            <v>44</v>
          </cell>
          <cell r="C652" t="str">
            <v>HITCHCOCK</v>
          </cell>
          <cell r="D652" t="str">
            <v>CITY OR VILLAGE</v>
          </cell>
        </row>
        <row r="653">
          <cell r="B653">
            <v>44</v>
          </cell>
          <cell r="C653" t="str">
            <v>HITCHCOCK</v>
          </cell>
          <cell r="D653" t="str">
            <v>CITY OR VILLAGE</v>
          </cell>
        </row>
        <row r="654">
          <cell r="B654">
            <v>44</v>
          </cell>
          <cell r="C654" t="str">
            <v>HITCHCOCK</v>
          </cell>
          <cell r="D654" t="str">
            <v>CITY OR VILLAGE</v>
          </cell>
        </row>
        <row r="655">
          <cell r="B655">
            <v>44</v>
          </cell>
          <cell r="C655" t="str">
            <v>HITCHCOCK</v>
          </cell>
          <cell r="D655" t="str">
            <v>CITY OR VILLAGE</v>
          </cell>
        </row>
        <row r="656">
          <cell r="B656">
            <v>44</v>
          </cell>
          <cell r="C656" t="str">
            <v>HITCHCOCK</v>
          </cell>
          <cell r="D656" t="str">
            <v>CITY OR VILLAGE</v>
          </cell>
        </row>
        <row r="657">
          <cell r="B657">
            <v>44</v>
          </cell>
          <cell r="C657" t="str">
            <v>HITCHCOCK</v>
          </cell>
          <cell r="D657" t="str">
            <v>CITY OR VILLAGE</v>
          </cell>
        </row>
        <row r="658">
          <cell r="B658">
            <v>44</v>
          </cell>
          <cell r="C658" t="str">
            <v>HITCHCOCK</v>
          </cell>
          <cell r="D658" t="str">
            <v>CITY OR VILLAGE</v>
          </cell>
        </row>
        <row r="659">
          <cell r="B659">
            <v>44</v>
          </cell>
          <cell r="C659" t="str">
            <v>HITCHCOCK</v>
          </cell>
          <cell r="D659" t="str">
            <v>CITY OR VILLAGE</v>
          </cell>
        </row>
        <row r="660">
          <cell r="B660">
            <v>44</v>
          </cell>
          <cell r="C660" t="str">
            <v>HITCHCOCK</v>
          </cell>
          <cell r="D660" t="str">
            <v>CITY OR VILLAGE</v>
          </cell>
        </row>
        <row r="661">
          <cell r="B661">
            <v>44</v>
          </cell>
          <cell r="C661" t="str">
            <v>HITCHCOCK</v>
          </cell>
          <cell r="D661" t="str">
            <v>CITY OR VILLAGE</v>
          </cell>
        </row>
        <row r="662">
          <cell r="B662">
            <v>44</v>
          </cell>
          <cell r="C662" t="str">
            <v>HITCHCOCK</v>
          </cell>
          <cell r="D662" t="str">
            <v>CITY OR VILLAGE</v>
          </cell>
        </row>
        <row r="663">
          <cell r="B663">
            <v>45</v>
          </cell>
          <cell r="C663" t="str">
            <v>HOLT</v>
          </cell>
          <cell r="D663" t="str">
            <v>CITY OR VILLAGE</v>
          </cell>
          <cell r="E663">
            <v>1245</v>
          </cell>
          <cell r="F663" t="str">
            <v>ATKINSON</v>
          </cell>
          <cell r="G663">
            <v>8163191</v>
          </cell>
          <cell r="H663">
            <v>1338276</v>
          </cell>
          <cell r="I663">
            <v>447103</v>
          </cell>
          <cell r="J663">
            <v>46791764</v>
          </cell>
          <cell r="K663">
            <v>16551294</v>
          </cell>
          <cell r="L663">
            <v>101440</v>
          </cell>
          <cell r="M663">
            <v>0</v>
          </cell>
          <cell r="N663">
            <v>21527</v>
          </cell>
          <cell r="O663">
            <v>0</v>
          </cell>
          <cell r="P663">
            <v>0</v>
          </cell>
          <cell r="Q663">
            <v>0</v>
          </cell>
          <cell r="R663">
            <v>73414595</v>
          </cell>
        </row>
        <row r="664">
          <cell r="B664">
            <v>45</v>
          </cell>
          <cell r="C664" t="str">
            <v>HOLT</v>
          </cell>
          <cell r="D664" t="str">
            <v>CITY OR VILLAGE</v>
          </cell>
          <cell r="E664">
            <v>268</v>
          </cell>
          <cell r="F664" t="str">
            <v>CHAMBERS</v>
          </cell>
          <cell r="G664">
            <v>164607</v>
          </cell>
          <cell r="H664">
            <v>299414</v>
          </cell>
          <cell r="I664">
            <v>9177</v>
          </cell>
          <cell r="J664">
            <v>6983068</v>
          </cell>
          <cell r="K664">
            <v>987070</v>
          </cell>
          <cell r="L664">
            <v>0</v>
          </cell>
          <cell r="M664">
            <v>0</v>
          </cell>
          <cell r="N664">
            <v>430401</v>
          </cell>
          <cell r="O664">
            <v>14550</v>
          </cell>
          <cell r="P664">
            <v>4730</v>
          </cell>
          <cell r="Q664">
            <v>0</v>
          </cell>
          <cell r="R664">
            <v>8893017</v>
          </cell>
        </row>
        <row r="665">
          <cell r="B665">
            <v>45</v>
          </cell>
          <cell r="C665" t="str">
            <v>HOLT</v>
          </cell>
          <cell r="D665" t="str">
            <v>CITY OR VILLAGE</v>
          </cell>
          <cell r="E665">
            <v>48</v>
          </cell>
          <cell r="F665" t="str">
            <v>EMMET</v>
          </cell>
          <cell r="G665">
            <v>142407</v>
          </cell>
          <cell r="H665">
            <v>376</v>
          </cell>
          <cell r="I665">
            <v>163</v>
          </cell>
          <cell r="J665">
            <v>641000</v>
          </cell>
          <cell r="K665">
            <v>490952</v>
          </cell>
          <cell r="L665">
            <v>0</v>
          </cell>
          <cell r="M665">
            <v>0</v>
          </cell>
          <cell r="N665">
            <v>114129</v>
          </cell>
          <cell r="O665">
            <v>46291</v>
          </cell>
          <cell r="P665">
            <v>13550</v>
          </cell>
          <cell r="Q665">
            <v>0</v>
          </cell>
          <cell r="R665">
            <v>1448868</v>
          </cell>
        </row>
        <row r="666">
          <cell r="B666">
            <v>45</v>
          </cell>
          <cell r="C666" t="str">
            <v>HOLT</v>
          </cell>
          <cell r="D666" t="str">
            <v>CITY OR VILLAGE</v>
          </cell>
          <cell r="E666">
            <v>387</v>
          </cell>
          <cell r="F666" t="str">
            <v>EWING</v>
          </cell>
          <cell r="G666">
            <v>203661</v>
          </cell>
          <cell r="H666">
            <v>382996</v>
          </cell>
          <cell r="I666">
            <v>78892</v>
          </cell>
          <cell r="J666">
            <v>7820985</v>
          </cell>
          <cell r="K666">
            <v>1747031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10233565</v>
          </cell>
        </row>
        <row r="667">
          <cell r="B667">
            <v>45</v>
          </cell>
          <cell r="C667" t="str">
            <v>HOLT</v>
          </cell>
          <cell r="D667" t="str">
            <v>CITY OR VILLAGE</v>
          </cell>
          <cell r="E667">
            <v>129</v>
          </cell>
          <cell r="F667" t="str">
            <v>INMAN</v>
          </cell>
          <cell r="G667">
            <v>81923</v>
          </cell>
          <cell r="H667">
            <v>112822</v>
          </cell>
          <cell r="I667">
            <v>8097</v>
          </cell>
          <cell r="J667">
            <v>1178430</v>
          </cell>
          <cell r="K667">
            <v>136682</v>
          </cell>
          <cell r="L667">
            <v>0</v>
          </cell>
          <cell r="M667">
            <v>0</v>
          </cell>
          <cell r="N667">
            <v>32192</v>
          </cell>
          <cell r="O667">
            <v>58880</v>
          </cell>
          <cell r="P667">
            <v>0</v>
          </cell>
          <cell r="Q667">
            <v>0</v>
          </cell>
          <cell r="R667">
            <v>1609026</v>
          </cell>
        </row>
        <row r="668">
          <cell r="B668">
            <v>45</v>
          </cell>
          <cell r="C668" t="str">
            <v>HOLT</v>
          </cell>
          <cell r="D668" t="str">
            <v>CITY OR VILLAGE</v>
          </cell>
          <cell r="E668">
            <v>3705</v>
          </cell>
          <cell r="F668" t="str">
            <v>O'NEILL</v>
          </cell>
          <cell r="G668">
            <v>5224886</v>
          </cell>
          <cell r="H668">
            <v>1547444</v>
          </cell>
          <cell r="I668">
            <v>919767</v>
          </cell>
          <cell r="J668">
            <v>126562656</v>
          </cell>
          <cell r="K668">
            <v>42563318</v>
          </cell>
          <cell r="L668">
            <v>0</v>
          </cell>
          <cell r="M668">
            <v>0</v>
          </cell>
          <cell r="N668">
            <v>1320</v>
          </cell>
          <cell r="O668">
            <v>0</v>
          </cell>
          <cell r="P668">
            <v>0</v>
          </cell>
          <cell r="Q668">
            <v>0</v>
          </cell>
          <cell r="R668">
            <v>176819391</v>
          </cell>
        </row>
        <row r="669">
          <cell r="B669">
            <v>45</v>
          </cell>
          <cell r="C669" t="str">
            <v>HOLT</v>
          </cell>
          <cell r="D669" t="str">
            <v>CITY OR VILLAGE</v>
          </cell>
          <cell r="E669">
            <v>166</v>
          </cell>
          <cell r="F669" t="str">
            <v>PAGE</v>
          </cell>
          <cell r="G669">
            <v>45563</v>
          </cell>
          <cell r="H669">
            <v>235522</v>
          </cell>
          <cell r="I669">
            <v>348526</v>
          </cell>
          <cell r="J669">
            <v>4032344</v>
          </cell>
          <cell r="K669">
            <v>623458</v>
          </cell>
          <cell r="L669">
            <v>0</v>
          </cell>
          <cell r="M669">
            <v>0</v>
          </cell>
          <cell r="N669">
            <v>2934</v>
          </cell>
          <cell r="O669">
            <v>0</v>
          </cell>
          <cell r="P669">
            <v>0</v>
          </cell>
          <cell r="Q669">
            <v>0</v>
          </cell>
          <cell r="R669">
            <v>5288347</v>
          </cell>
        </row>
        <row r="670">
          <cell r="B670">
            <v>45</v>
          </cell>
          <cell r="C670" t="str">
            <v>HOLT</v>
          </cell>
          <cell r="D670" t="str">
            <v>CITY OR VILLAGE</v>
          </cell>
          <cell r="E670">
            <v>590</v>
          </cell>
          <cell r="F670" t="str">
            <v>STUART</v>
          </cell>
          <cell r="G670">
            <v>4830175</v>
          </cell>
          <cell r="H670">
            <v>28314</v>
          </cell>
          <cell r="I670">
            <v>3425</v>
          </cell>
          <cell r="J670">
            <v>20754377</v>
          </cell>
          <cell r="K670">
            <v>6311199</v>
          </cell>
          <cell r="L670">
            <v>0</v>
          </cell>
          <cell r="M670">
            <v>0</v>
          </cell>
          <cell r="N670">
            <v>615086</v>
          </cell>
          <cell r="O670">
            <v>152093</v>
          </cell>
          <cell r="P670">
            <v>159832</v>
          </cell>
          <cell r="Q670">
            <v>0</v>
          </cell>
          <cell r="R670">
            <v>32854501</v>
          </cell>
        </row>
        <row r="671">
          <cell r="B671">
            <v>45</v>
          </cell>
          <cell r="C671" t="str">
            <v>HOLT</v>
          </cell>
          <cell r="D671" t="str">
            <v>CITY OR VILLAGE</v>
          </cell>
        </row>
        <row r="672">
          <cell r="B672">
            <v>45</v>
          </cell>
          <cell r="C672" t="str">
            <v>HOLT</v>
          </cell>
          <cell r="D672" t="str">
            <v>CITY OR VILLAGE</v>
          </cell>
        </row>
        <row r="673">
          <cell r="B673">
            <v>45</v>
          </cell>
          <cell r="C673" t="str">
            <v>HOLT</v>
          </cell>
          <cell r="D673" t="str">
            <v>CITY OR VILLAGE</v>
          </cell>
        </row>
        <row r="674">
          <cell r="B674">
            <v>45</v>
          </cell>
          <cell r="C674" t="str">
            <v>HOLT</v>
          </cell>
          <cell r="D674" t="str">
            <v>CITY OR VILLAGE</v>
          </cell>
        </row>
        <row r="675">
          <cell r="B675">
            <v>45</v>
          </cell>
          <cell r="C675" t="str">
            <v>HOLT</v>
          </cell>
          <cell r="D675" t="str">
            <v>CITY OR VILLAGE</v>
          </cell>
        </row>
        <row r="676">
          <cell r="B676">
            <v>45</v>
          </cell>
          <cell r="C676" t="str">
            <v>HOLT</v>
          </cell>
          <cell r="D676" t="str">
            <v>CITY OR VILLAGE</v>
          </cell>
        </row>
        <row r="677">
          <cell r="B677">
            <v>45</v>
          </cell>
          <cell r="C677" t="str">
            <v>HOLT</v>
          </cell>
          <cell r="D677" t="str">
            <v>CITY OR VILLAGE</v>
          </cell>
        </row>
        <row r="678">
          <cell r="B678">
            <v>46</v>
          </cell>
          <cell r="C678" t="str">
            <v>HOOKER</v>
          </cell>
          <cell r="D678" t="str">
            <v>CITY OR VILLAGE</v>
          </cell>
          <cell r="E678">
            <v>509</v>
          </cell>
          <cell r="F678" t="str">
            <v>MULLEN</v>
          </cell>
          <cell r="G678">
            <v>668812</v>
          </cell>
          <cell r="H678">
            <v>507626</v>
          </cell>
          <cell r="I678">
            <v>1584436</v>
          </cell>
          <cell r="J678">
            <v>11815063</v>
          </cell>
          <cell r="K678">
            <v>2394126</v>
          </cell>
          <cell r="L678">
            <v>0</v>
          </cell>
          <cell r="M678">
            <v>0</v>
          </cell>
          <cell r="N678">
            <v>455047</v>
          </cell>
          <cell r="O678">
            <v>416</v>
          </cell>
          <cell r="P678">
            <v>0</v>
          </cell>
          <cell r="Q678">
            <v>0</v>
          </cell>
          <cell r="R678">
            <v>17425526</v>
          </cell>
        </row>
        <row r="679">
          <cell r="B679">
            <v>46</v>
          </cell>
          <cell r="C679" t="str">
            <v>HOOKER</v>
          </cell>
          <cell r="D679" t="str">
            <v>CITY OR VILLAGE</v>
          </cell>
        </row>
        <row r="680">
          <cell r="B680">
            <v>46</v>
          </cell>
          <cell r="C680" t="str">
            <v>HOOKER</v>
          </cell>
          <cell r="D680" t="str">
            <v>CITY OR VILLAGE</v>
          </cell>
        </row>
        <row r="681">
          <cell r="B681">
            <v>46</v>
          </cell>
          <cell r="C681" t="str">
            <v>HOOKER</v>
          </cell>
          <cell r="D681" t="str">
            <v>CITY OR VILLAGE</v>
          </cell>
        </row>
        <row r="682">
          <cell r="B682">
            <v>46</v>
          </cell>
          <cell r="C682" t="str">
            <v>HOOKER</v>
          </cell>
          <cell r="D682" t="str">
            <v>CITY OR VILLAGE</v>
          </cell>
        </row>
        <row r="683">
          <cell r="B683">
            <v>46</v>
          </cell>
          <cell r="C683" t="str">
            <v>HOOKER</v>
          </cell>
          <cell r="D683" t="str">
            <v>CITY OR VILLAGE</v>
          </cell>
        </row>
        <row r="684">
          <cell r="B684">
            <v>46</v>
          </cell>
          <cell r="C684" t="str">
            <v>HOOKER</v>
          </cell>
          <cell r="D684" t="str">
            <v>CITY OR VILLAGE</v>
          </cell>
        </row>
        <row r="685">
          <cell r="B685">
            <v>46</v>
          </cell>
          <cell r="C685" t="str">
            <v>HOOKER</v>
          </cell>
          <cell r="D685" t="str">
            <v>CITY OR VILLAGE</v>
          </cell>
        </row>
        <row r="686">
          <cell r="B686">
            <v>46</v>
          </cell>
          <cell r="C686" t="str">
            <v>HOOKER</v>
          </cell>
          <cell r="D686" t="str">
            <v>CITY OR VILLAGE</v>
          </cell>
        </row>
        <row r="687">
          <cell r="B687">
            <v>46</v>
          </cell>
          <cell r="C687" t="str">
            <v>HOOKER</v>
          </cell>
          <cell r="D687" t="str">
            <v>CITY OR VILLAGE</v>
          </cell>
        </row>
        <row r="688">
          <cell r="B688">
            <v>46</v>
          </cell>
          <cell r="C688" t="str">
            <v>HOOKER</v>
          </cell>
          <cell r="D688" t="str">
            <v>CITY OR VILLAGE</v>
          </cell>
        </row>
        <row r="689">
          <cell r="B689">
            <v>46</v>
          </cell>
          <cell r="C689" t="str">
            <v>HOOKER</v>
          </cell>
          <cell r="D689" t="str">
            <v>CITY OR VILLAGE</v>
          </cell>
        </row>
        <row r="690">
          <cell r="B690">
            <v>46</v>
          </cell>
          <cell r="C690" t="str">
            <v>HOOKER</v>
          </cell>
          <cell r="D690" t="str">
            <v>CITY OR VILLAGE</v>
          </cell>
        </row>
        <row r="691">
          <cell r="B691">
            <v>46</v>
          </cell>
          <cell r="C691" t="str">
            <v>HOOKER</v>
          </cell>
          <cell r="D691" t="str">
            <v>CITY OR VILLAGE</v>
          </cell>
        </row>
        <row r="692">
          <cell r="B692">
            <v>46</v>
          </cell>
          <cell r="C692" t="str">
            <v>HOOKER</v>
          </cell>
          <cell r="D692" t="str">
            <v>CITY OR VILLAGE</v>
          </cell>
        </row>
        <row r="693">
          <cell r="B693">
            <v>47</v>
          </cell>
          <cell r="C693" t="str">
            <v>HOWARD</v>
          </cell>
          <cell r="D693" t="str">
            <v>CITY OR VILLAGE</v>
          </cell>
          <cell r="E693">
            <v>189</v>
          </cell>
          <cell r="F693" t="str">
            <v>BOELUS</v>
          </cell>
          <cell r="G693">
            <v>159863</v>
          </cell>
          <cell r="H693">
            <v>111379</v>
          </cell>
          <cell r="I693">
            <v>5804</v>
          </cell>
          <cell r="J693">
            <v>4357999</v>
          </cell>
          <cell r="K693">
            <v>961101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5596146</v>
          </cell>
        </row>
        <row r="694">
          <cell r="B694">
            <v>47</v>
          </cell>
          <cell r="C694" t="str">
            <v>HOWARD</v>
          </cell>
          <cell r="D694" t="str">
            <v>CITY OR VILLAGE</v>
          </cell>
          <cell r="E694">
            <v>46</v>
          </cell>
          <cell r="F694" t="str">
            <v>COTESFIELD</v>
          </cell>
          <cell r="G694">
            <v>6860</v>
          </cell>
          <cell r="H694">
            <v>194872</v>
          </cell>
          <cell r="I694">
            <v>618273</v>
          </cell>
          <cell r="J694">
            <v>860793</v>
          </cell>
          <cell r="K694">
            <v>37643</v>
          </cell>
          <cell r="L694">
            <v>0</v>
          </cell>
          <cell r="M694">
            <v>0</v>
          </cell>
          <cell r="N694">
            <v>411092</v>
          </cell>
          <cell r="O694">
            <v>44410</v>
          </cell>
          <cell r="P694">
            <v>18534</v>
          </cell>
          <cell r="Q694">
            <v>0</v>
          </cell>
          <cell r="R694">
            <v>2192477</v>
          </cell>
        </row>
        <row r="695">
          <cell r="B695">
            <v>47</v>
          </cell>
          <cell r="C695" t="str">
            <v>HOWARD</v>
          </cell>
          <cell r="D695" t="str">
            <v>CITY OR VILLAGE</v>
          </cell>
          <cell r="E695">
            <v>32</v>
          </cell>
          <cell r="F695" t="str">
            <v>CUSHING</v>
          </cell>
          <cell r="G695">
            <v>2871</v>
          </cell>
          <cell r="H695">
            <v>252</v>
          </cell>
          <cell r="I695">
            <v>109</v>
          </cell>
          <cell r="J695">
            <v>729079</v>
          </cell>
          <cell r="K695">
            <v>24671</v>
          </cell>
          <cell r="L695">
            <v>0</v>
          </cell>
          <cell r="M695">
            <v>0</v>
          </cell>
          <cell r="N695">
            <v>380174</v>
          </cell>
          <cell r="O695">
            <v>0</v>
          </cell>
          <cell r="P695">
            <v>0</v>
          </cell>
          <cell r="Q695">
            <v>0</v>
          </cell>
          <cell r="R695">
            <v>1137156</v>
          </cell>
        </row>
        <row r="696">
          <cell r="B696">
            <v>47</v>
          </cell>
          <cell r="C696" t="str">
            <v>HOWARD</v>
          </cell>
          <cell r="D696" t="str">
            <v>CITY OR VILLAGE</v>
          </cell>
          <cell r="E696">
            <v>303</v>
          </cell>
          <cell r="F696" t="str">
            <v>DANNEBROG</v>
          </cell>
          <cell r="G696">
            <v>65912</v>
          </cell>
          <cell r="H696">
            <v>295973</v>
          </cell>
          <cell r="I696">
            <v>23059</v>
          </cell>
          <cell r="J696">
            <v>8402107</v>
          </cell>
          <cell r="K696">
            <v>1439766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10226817</v>
          </cell>
        </row>
        <row r="697">
          <cell r="B697">
            <v>47</v>
          </cell>
          <cell r="C697" t="str">
            <v>HOWARD</v>
          </cell>
          <cell r="D697" t="str">
            <v>CITY OR VILLAGE</v>
          </cell>
          <cell r="E697">
            <v>215</v>
          </cell>
          <cell r="F697" t="str">
            <v>ELBA</v>
          </cell>
          <cell r="G697">
            <v>312274</v>
          </cell>
          <cell r="H697">
            <v>209266</v>
          </cell>
          <cell r="I697">
            <v>414035</v>
          </cell>
          <cell r="J697">
            <v>5294087</v>
          </cell>
          <cell r="K697">
            <v>1126737</v>
          </cell>
          <cell r="L697">
            <v>0</v>
          </cell>
          <cell r="M697">
            <v>0</v>
          </cell>
          <cell r="N697">
            <v>216305</v>
          </cell>
          <cell r="O697">
            <v>0</v>
          </cell>
          <cell r="P697">
            <v>13300</v>
          </cell>
          <cell r="Q697">
            <v>0</v>
          </cell>
          <cell r="R697">
            <v>7586004</v>
          </cell>
        </row>
        <row r="698">
          <cell r="B698">
            <v>47</v>
          </cell>
          <cell r="C698" t="str">
            <v>HOWARD</v>
          </cell>
          <cell r="D698" t="str">
            <v>CITY OR VILLAGE</v>
          </cell>
          <cell r="E698">
            <v>122</v>
          </cell>
          <cell r="F698" t="str">
            <v>FARWELL</v>
          </cell>
          <cell r="G698">
            <v>880622</v>
          </cell>
          <cell r="H698">
            <v>41107</v>
          </cell>
          <cell r="I698">
            <v>17757</v>
          </cell>
          <cell r="J698">
            <v>2992145</v>
          </cell>
          <cell r="K698">
            <v>1364668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5296299</v>
          </cell>
        </row>
        <row r="699">
          <cell r="B699">
            <v>47</v>
          </cell>
          <cell r="C699" t="str">
            <v>HOWARD</v>
          </cell>
          <cell r="D699" t="str">
            <v>CITY OR VILLAGE</v>
          </cell>
          <cell r="E699">
            <v>2299</v>
          </cell>
          <cell r="F699" t="str">
            <v>ST PAUL</v>
          </cell>
          <cell r="G699">
            <v>1815649</v>
          </cell>
          <cell r="H699">
            <v>1301111</v>
          </cell>
          <cell r="I699">
            <v>1586733</v>
          </cell>
          <cell r="J699">
            <v>94167832</v>
          </cell>
          <cell r="K699">
            <v>29876777</v>
          </cell>
          <cell r="L699">
            <v>0</v>
          </cell>
          <cell r="M699">
            <v>0</v>
          </cell>
          <cell r="N699">
            <v>77926</v>
          </cell>
          <cell r="O699">
            <v>0</v>
          </cell>
          <cell r="P699">
            <v>0</v>
          </cell>
          <cell r="Q699">
            <v>0</v>
          </cell>
          <cell r="R699">
            <v>128826028</v>
          </cell>
        </row>
        <row r="700">
          <cell r="B700">
            <v>47</v>
          </cell>
          <cell r="C700" t="str">
            <v>HOWARD</v>
          </cell>
          <cell r="D700" t="str">
            <v>CITY OR VILLAGE</v>
          </cell>
        </row>
        <row r="701">
          <cell r="B701">
            <v>47</v>
          </cell>
          <cell r="C701" t="str">
            <v>HOWARD</v>
          </cell>
          <cell r="D701" t="str">
            <v>CITY OR VILLAGE</v>
          </cell>
        </row>
        <row r="702">
          <cell r="B702">
            <v>47</v>
          </cell>
          <cell r="C702" t="str">
            <v>HOWARD</v>
          </cell>
          <cell r="D702" t="str">
            <v>CITY OR VILLAGE</v>
          </cell>
        </row>
        <row r="703">
          <cell r="B703">
            <v>47</v>
          </cell>
          <cell r="C703" t="str">
            <v>HOWARD</v>
          </cell>
          <cell r="D703" t="str">
            <v>CITY OR VILLAGE</v>
          </cell>
        </row>
        <row r="704">
          <cell r="B704">
            <v>47</v>
          </cell>
          <cell r="C704" t="str">
            <v>HOWARD</v>
          </cell>
          <cell r="D704" t="str">
            <v>CITY OR VILLAGE</v>
          </cell>
        </row>
        <row r="705">
          <cell r="B705">
            <v>47</v>
          </cell>
          <cell r="C705" t="str">
            <v>HOWARD</v>
          </cell>
          <cell r="D705" t="str">
            <v>CITY OR VILLAGE</v>
          </cell>
        </row>
        <row r="706">
          <cell r="B706">
            <v>47</v>
          </cell>
          <cell r="C706" t="str">
            <v>HOWARD</v>
          </cell>
          <cell r="D706" t="str">
            <v>CITY OR VILLAGE</v>
          </cell>
        </row>
        <row r="707">
          <cell r="B707">
            <v>47</v>
          </cell>
          <cell r="C707" t="str">
            <v>HOWARD</v>
          </cell>
          <cell r="D707" t="str">
            <v>CITY OR VILLAGE</v>
          </cell>
        </row>
        <row r="708">
          <cell r="B708">
            <v>48</v>
          </cell>
          <cell r="C708" t="str">
            <v>JEFFERSON</v>
          </cell>
          <cell r="D708" t="str">
            <v>CITY OR VILLAGE</v>
          </cell>
          <cell r="E708">
            <v>166</v>
          </cell>
          <cell r="F708" t="str">
            <v>DAYKIN</v>
          </cell>
          <cell r="G708">
            <v>468819</v>
          </cell>
          <cell r="H708">
            <v>199674</v>
          </cell>
          <cell r="I708">
            <v>50245</v>
          </cell>
          <cell r="J708">
            <v>5190835</v>
          </cell>
          <cell r="K708">
            <v>5553625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11463198</v>
          </cell>
        </row>
        <row r="709">
          <cell r="B709">
            <v>48</v>
          </cell>
          <cell r="C709" t="str">
            <v>JEFFERSON</v>
          </cell>
          <cell r="D709" t="str">
            <v>CITY OR VILLAGE</v>
          </cell>
          <cell r="E709">
            <v>260</v>
          </cell>
          <cell r="F709" t="str">
            <v>DILLER</v>
          </cell>
          <cell r="G709">
            <v>3120111</v>
          </cell>
          <cell r="H709">
            <v>1116681</v>
          </cell>
          <cell r="I709">
            <v>29792</v>
          </cell>
          <cell r="J709">
            <v>7306892</v>
          </cell>
          <cell r="K709">
            <v>1788599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13362075</v>
          </cell>
        </row>
        <row r="710">
          <cell r="B710">
            <v>48</v>
          </cell>
          <cell r="C710" t="str">
            <v>JEFFERSON</v>
          </cell>
          <cell r="D710" t="str">
            <v>CITY OR VILLAGE</v>
          </cell>
          <cell r="E710">
            <v>132</v>
          </cell>
          <cell r="F710" t="str">
            <v>ENDICOTT</v>
          </cell>
          <cell r="G710">
            <v>58601</v>
          </cell>
          <cell r="H710">
            <v>517613</v>
          </cell>
          <cell r="I710">
            <v>2561732</v>
          </cell>
          <cell r="J710">
            <v>3403374</v>
          </cell>
          <cell r="K710">
            <v>80371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6621691</v>
          </cell>
        </row>
        <row r="711">
          <cell r="B711">
            <v>48</v>
          </cell>
          <cell r="C711" t="str">
            <v>JEFFERSON</v>
          </cell>
          <cell r="D711" t="str">
            <v>CITY OR VILLAGE</v>
          </cell>
          <cell r="E711">
            <v>3942</v>
          </cell>
          <cell r="F711" t="str">
            <v>FAIRBURY</v>
          </cell>
          <cell r="G711">
            <v>10569382</v>
          </cell>
          <cell r="H711">
            <v>2580858</v>
          </cell>
          <cell r="I711">
            <v>3502485</v>
          </cell>
          <cell r="J711">
            <v>90694091</v>
          </cell>
          <cell r="K711">
            <v>29371724</v>
          </cell>
          <cell r="L711">
            <v>2509361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139227901</v>
          </cell>
        </row>
        <row r="712">
          <cell r="B712">
            <v>48</v>
          </cell>
          <cell r="C712" t="str">
            <v>JEFFERSON</v>
          </cell>
          <cell r="D712" t="str">
            <v>CITY OR VILLAGE</v>
          </cell>
          <cell r="E712">
            <v>49</v>
          </cell>
          <cell r="F712" t="str">
            <v>HARBINE</v>
          </cell>
          <cell r="G712">
            <v>368937</v>
          </cell>
          <cell r="H712">
            <v>130714</v>
          </cell>
          <cell r="I712">
            <v>3487</v>
          </cell>
          <cell r="J712">
            <v>1415991</v>
          </cell>
          <cell r="K712">
            <v>201786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2120915</v>
          </cell>
        </row>
        <row r="713">
          <cell r="B713">
            <v>48</v>
          </cell>
          <cell r="C713" t="str">
            <v>JEFFERSON</v>
          </cell>
          <cell r="D713" t="str">
            <v>CITY OR VILLAGE</v>
          </cell>
          <cell r="E713">
            <v>118</v>
          </cell>
          <cell r="F713" t="str">
            <v>JANSEN</v>
          </cell>
          <cell r="G713">
            <v>135106</v>
          </cell>
          <cell r="H713">
            <v>111211</v>
          </cell>
          <cell r="I713">
            <v>252485</v>
          </cell>
          <cell r="J713">
            <v>2305725</v>
          </cell>
          <cell r="K713">
            <v>14504157</v>
          </cell>
          <cell r="L713">
            <v>0</v>
          </cell>
          <cell r="M713">
            <v>0</v>
          </cell>
          <cell r="N713">
            <v>115328</v>
          </cell>
          <cell r="O713">
            <v>0</v>
          </cell>
          <cell r="P713">
            <v>0</v>
          </cell>
          <cell r="Q713">
            <v>0</v>
          </cell>
          <cell r="R713">
            <v>17424012</v>
          </cell>
        </row>
        <row r="714">
          <cell r="B714">
            <v>48</v>
          </cell>
          <cell r="C714" t="str">
            <v>JEFFERSON</v>
          </cell>
          <cell r="D714" t="str">
            <v>CITY OR VILLAGE</v>
          </cell>
          <cell r="E714">
            <v>409</v>
          </cell>
          <cell r="F714" t="str">
            <v>PLYMOUTH</v>
          </cell>
          <cell r="G714">
            <v>1458438</v>
          </cell>
          <cell r="H714">
            <v>337417</v>
          </cell>
          <cell r="I714">
            <v>570881</v>
          </cell>
          <cell r="J714">
            <v>13333138</v>
          </cell>
          <cell r="K714">
            <v>10705023</v>
          </cell>
          <cell r="L714">
            <v>585907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26990804</v>
          </cell>
        </row>
        <row r="715">
          <cell r="B715">
            <v>48</v>
          </cell>
          <cell r="C715" t="str">
            <v>JEFFERSON</v>
          </cell>
          <cell r="D715" t="str">
            <v>CITY OR VILLAGE</v>
          </cell>
          <cell r="E715">
            <v>69</v>
          </cell>
          <cell r="F715" t="str">
            <v>REYNOLDS</v>
          </cell>
          <cell r="G715">
            <v>125439</v>
          </cell>
          <cell r="H715">
            <v>105341</v>
          </cell>
          <cell r="I715">
            <v>23328</v>
          </cell>
          <cell r="J715">
            <v>1455142</v>
          </cell>
          <cell r="K715">
            <v>1373782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3083032</v>
          </cell>
        </row>
        <row r="716">
          <cell r="B716">
            <v>48</v>
          </cell>
          <cell r="C716" t="str">
            <v>JEFFERSON</v>
          </cell>
          <cell r="D716" t="str">
            <v>CITY OR VILLAGE</v>
          </cell>
          <cell r="E716">
            <v>61</v>
          </cell>
          <cell r="F716" t="str">
            <v>STEELE CITY</v>
          </cell>
          <cell r="G716">
            <v>39200</v>
          </cell>
          <cell r="H716">
            <v>250376</v>
          </cell>
          <cell r="I716">
            <v>1165841</v>
          </cell>
          <cell r="J716">
            <v>1236023</v>
          </cell>
          <cell r="K716">
            <v>47481</v>
          </cell>
          <cell r="L716">
            <v>0</v>
          </cell>
          <cell r="M716">
            <v>565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2739486</v>
          </cell>
        </row>
        <row r="717">
          <cell r="B717">
            <v>48</v>
          </cell>
          <cell r="C717" t="str">
            <v>JEFFERSON</v>
          </cell>
          <cell r="D717" t="str">
            <v>CITY OR VILLAGE</v>
          </cell>
        </row>
        <row r="718">
          <cell r="B718">
            <v>48</v>
          </cell>
          <cell r="C718" t="str">
            <v>JEFFERSON</v>
          </cell>
          <cell r="D718" t="str">
            <v>CITY OR VILLAGE</v>
          </cell>
        </row>
        <row r="719">
          <cell r="B719">
            <v>48</v>
          </cell>
          <cell r="C719" t="str">
            <v>JEFFERSON</v>
          </cell>
          <cell r="D719" t="str">
            <v>CITY OR VILLAGE</v>
          </cell>
        </row>
        <row r="720">
          <cell r="B720">
            <v>48</v>
          </cell>
          <cell r="C720" t="str">
            <v>JEFFERSON</v>
          </cell>
          <cell r="D720" t="str">
            <v>CITY OR VILLAGE</v>
          </cell>
        </row>
        <row r="721">
          <cell r="B721">
            <v>48</v>
          </cell>
          <cell r="C721" t="str">
            <v>JEFFERSON</v>
          </cell>
          <cell r="D721" t="str">
            <v>CITY OR VILLAGE</v>
          </cell>
        </row>
        <row r="722">
          <cell r="B722">
            <v>48</v>
          </cell>
          <cell r="C722" t="str">
            <v>JEFFERSON</v>
          </cell>
          <cell r="D722" t="str">
            <v>CITY OR VILLAGE</v>
          </cell>
        </row>
        <row r="723">
          <cell r="B723">
            <v>49</v>
          </cell>
          <cell r="C723" t="str">
            <v>JOHNSON</v>
          </cell>
          <cell r="D723" t="str">
            <v>CITY OR VILLAGE</v>
          </cell>
          <cell r="E723">
            <v>321</v>
          </cell>
          <cell r="F723" t="str">
            <v>COOK</v>
          </cell>
          <cell r="G723">
            <v>90188</v>
          </cell>
          <cell r="H723">
            <v>58269</v>
          </cell>
          <cell r="I723">
            <v>2753</v>
          </cell>
          <cell r="J723">
            <v>6618083</v>
          </cell>
          <cell r="K723">
            <v>854032</v>
          </cell>
          <cell r="L723">
            <v>0</v>
          </cell>
          <cell r="M723">
            <v>0</v>
          </cell>
          <cell r="N723">
            <v>11222</v>
          </cell>
          <cell r="O723">
            <v>0</v>
          </cell>
          <cell r="P723">
            <v>0</v>
          </cell>
          <cell r="Q723">
            <v>0</v>
          </cell>
          <cell r="R723">
            <v>7634547</v>
          </cell>
        </row>
        <row r="724">
          <cell r="B724">
            <v>49</v>
          </cell>
          <cell r="C724" t="str">
            <v>JOHNSON</v>
          </cell>
          <cell r="D724" t="str">
            <v>CITY OR VILLAGE</v>
          </cell>
          <cell r="E724">
            <v>38</v>
          </cell>
          <cell r="F724" t="str">
            <v>CRAB ORCHARD</v>
          </cell>
          <cell r="G724">
            <v>88583</v>
          </cell>
          <cell r="H724">
            <v>33793</v>
          </cell>
          <cell r="I724">
            <v>1597</v>
          </cell>
          <cell r="J724">
            <v>462941</v>
          </cell>
          <cell r="K724">
            <v>12399</v>
          </cell>
          <cell r="L724">
            <v>0</v>
          </cell>
          <cell r="M724">
            <v>0</v>
          </cell>
          <cell r="N724">
            <v>71994</v>
          </cell>
          <cell r="O724">
            <v>0</v>
          </cell>
          <cell r="P724">
            <v>86876</v>
          </cell>
          <cell r="Q724">
            <v>0</v>
          </cell>
          <cell r="R724">
            <v>758183</v>
          </cell>
        </row>
        <row r="725">
          <cell r="B725">
            <v>49</v>
          </cell>
          <cell r="C725" t="str">
            <v>JOHNSON</v>
          </cell>
          <cell r="D725" t="str">
            <v>CITY OR VILLAGE</v>
          </cell>
          <cell r="E725">
            <v>98</v>
          </cell>
          <cell r="F725" t="str">
            <v>ELK CREEK</v>
          </cell>
          <cell r="G725">
            <v>352524</v>
          </cell>
          <cell r="H725">
            <v>153489</v>
          </cell>
          <cell r="I725">
            <v>586474</v>
          </cell>
          <cell r="J725">
            <v>1145266</v>
          </cell>
          <cell r="K725">
            <v>498697</v>
          </cell>
          <cell r="L725">
            <v>0</v>
          </cell>
          <cell r="M725">
            <v>0</v>
          </cell>
          <cell r="N725">
            <v>59669</v>
          </cell>
          <cell r="O725">
            <v>0</v>
          </cell>
          <cell r="P725">
            <v>0</v>
          </cell>
          <cell r="Q725">
            <v>0</v>
          </cell>
          <cell r="R725">
            <v>2796119</v>
          </cell>
        </row>
        <row r="726">
          <cell r="B726">
            <v>49</v>
          </cell>
          <cell r="C726" t="str">
            <v>JOHNSON</v>
          </cell>
          <cell r="D726" t="str">
            <v>CITY OR VILLAGE</v>
          </cell>
          <cell r="E726">
            <v>476</v>
          </cell>
          <cell r="F726" t="str">
            <v>STERLING</v>
          </cell>
          <cell r="G726">
            <v>635532</v>
          </cell>
          <cell r="H726">
            <v>657778</v>
          </cell>
          <cell r="I726">
            <v>1263509</v>
          </cell>
          <cell r="J726">
            <v>17048089</v>
          </cell>
          <cell r="K726">
            <v>4411326</v>
          </cell>
          <cell r="L726">
            <v>0</v>
          </cell>
          <cell r="M726">
            <v>0</v>
          </cell>
          <cell r="N726">
            <v>54628</v>
          </cell>
          <cell r="O726">
            <v>0</v>
          </cell>
          <cell r="P726">
            <v>0</v>
          </cell>
          <cell r="Q726">
            <v>0</v>
          </cell>
          <cell r="R726">
            <v>24070862</v>
          </cell>
        </row>
        <row r="727">
          <cell r="B727">
            <v>49</v>
          </cell>
          <cell r="C727" t="str">
            <v>JOHNSON</v>
          </cell>
          <cell r="D727" t="str">
            <v>CITY OR VILLAGE</v>
          </cell>
          <cell r="E727">
            <v>1680</v>
          </cell>
          <cell r="F727" t="str">
            <v>TECUMSEH</v>
          </cell>
          <cell r="G727">
            <v>7273141</v>
          </cell>
          <cell r="H727">
            <v>1459290</v>
          </cell>
          <cell r="I727">
            <v>2057991</v>
          </cell>
          <cell r="J727">
            <v>40892257</v>
          </cell>
          <cell r="K727">
            <v>17339083</v>
          </cell>
          <cell r="L727">
            <v>4656067</v>
          </cell>
          <cell r="M727">
            <v>0</v>
          </cell>
          <cell r="N727">
            <v>302366</v>
          </cell>
          <cell r="O727">
            <v>0</v>
          </cell>
          <cell r="P727">
            <v>20220</v>
          </cell>
          <cell r="Q727">
            <v>0</v>
          </cell>
          <cell r="R727">
            <v>74000415</v>
          </cell>
        </row>
        <row r="728">
          <cell r="B728">
            <v>49</v>
          </cell>
          <cell r="C728" t="str">
            <v>JOHNSON</v>
          </cell>
          <cell r="D728" t="str">
            <v>CITY OR VILLAGE</v>
          </cell>
        </row>
        <row r="729">
          <cell r="B729">
            <v>49</v>
          </cell>
          <cell r="C729" t="str">
            <v>JOHNSON</v>
          </cell>
          <cell r="D729" t="str">
            <v>CITY OR VILLAGE</v>
          </cell>
        </row>
        <row r="730">
          <cell r="B730">
            <v>49</v>
          </cell>
          <cell r="C730" t="str">
            <v>JOHNSON</v>
          </cell>
          <cell r="D730" t="str">
            <v>CITY OR VILLAGE</v>
          </cell>
        </row>
        <row r="731">
          <cell r="B731">
            <v>49</v>
          </cell>
          <cell r="C731" t="str">
            <v>JOHNSON</v>
          </cell>
          <cell r="D731" t="str">
            <v>CITY OR VILLAGE</v>
          </cell>
        </row>
        <row r="732">
          <cell r="B732">
            <v>49</v>
          </cell>
          <cell r="C732" t="str">
            <v>JOHNSON</v>
          </cell>
          <cell r="D732" t="str">
            <v>CITY OR VILLAGE</v>
          </cell>
        </row>
        <row r="733">
          <cell r="B733">
            <v>49</v>
          </cell>
          <cell r="C733" t="str">
            <v>JOHNSON</v>
          </cell>
          <cell r="D733" t="str">
            <v>CITY OR VILLAGE</v>
          </cell>
        </row>
        <row r="734">
          <cell r="B734">
            <v>49</v>
          </cell>
          <cell r="C734" t="str">
            <v>JOHNSON</v>
          </cell>
          <cell r="D734" t="str">
            <v>CITY OR VILLAGE</v>
          </cell>
        </row>
        <row r="735">
          <cell r="B735">
            <v>49</v>
          </cell>
          <cell r="C735" t="str">
            <v>JOHNSON</v>
          </cell>
          <cell r="D735" t="str">
            <v>CITY OR VILLAGE</v>
          </cell>
        </row>
        <row r="736">
          <cell r="B736">
            <v>49</v>
          </cell>
          <cell r="C736" t="str">
            <v>JOHNSON</v>
          </cell>
          <cell r="D736" t="str">
            <v>CITY OR VILLAGE</v>
          </cell>
        </row>
        <row r="737">
          <cell r="B737">
            <v>49</v>
          </cell>
          <cell r="C737" t="str">
            <v>JOHNSON</v>
          </cell>
          <cell r="D737" t="str">
            <v>CITY OR VILLAGE</v>
          </cell>
        </row>
        <row r="738">
          <cell r="B738">
            <v>50</v>
          </cell>
          <cell r="C738" t="str">
            <v>KEARNEY</v>
          </cell>
          <cell r="D738" t="str">
            <v>CITY OR VILLAGE</v>
          </cell>
          <cell r="E738">
            <v>726</v>
          </cell>
          <cell r="F738" t="str">
            <v>AXTELL</v>
          </cell>
          <cell r="G738">
            <v>1310652</v>
          </cell>
          <cell r="H738">
            <v>604560</v>
          </cell>
          <cell r="I738">
            <v>957479</v>
          </cell>
          <cell r="J738">
            <v>34737375</v>
          </cell>
          <cell r="K738">
            <v>7001840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44611906</v>
          </cell>
        </row>
        <row r="739">
          <cell r="B739">
            <v>50</v>
          </cell>
          <cell r="C739" t="str">
            <v>KEARNEY</v>
          </cell>
          <cell r="D739" t="str">
            <v>CITY OR VILLAGE</v>
          </cell>
          <cell r="E739">
            <v>71</v>
          </cell>
          <cell r="F739" t="str">
            <v>HEARTWELL</v>
          </cell>
          <cell r="G739">
            <v>1990</v>
          </cell>
          <cell r="H739">
            <v>184941</v>
          </cell>
          <cell r="I739">
            <v>391450</v>
          </cell>
          <cell r="J739">
            <v>1016585</v>
          </cell>
          <cell r="K739">
            <v>45395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1640361</v>
          </cell>
        </row>
        <row r="740">
          <cell r="B740">
            <v>50</v>
          </cell>
          <cell r="C740" t="str">
            <v>KEARNEY</v>
          </cell>
          <cell r="D740" t="str">
            <v>CITY OR VILLAGE</v>
          </cell>
          <cell r="E740">
            <v>2923</v>
          </cell>
          <cell r="F740" t="str">
            <v>MINDEN</v>
          </cell>
          <cell r="G740">
            <v>14838411</v>
          </cell>
          <cell r="H740">
            <v>2076630</v>
          </cell>
          <cell r="I740">
            <v>1059410</v>
          </cell>
          <cell r="J740">
            <v>139561970</v>
          </cell>
          <cell r="K740">
            <v>52656375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490</v>
          </cell>
          <cell r="Q740">
            <v>0</v>
          </cell>
          <cell r="R740">
            <v>210193286</v>
          </cell>
        </row>
        <row r="741">
          <cell r="B741">
            <v>50</v>
          </cell>
          <cell r="C741" t="str">
            <v>KEARNEY</v>
          </cell>
          <cell r="D741" t="str">
            <v>CITY OR VILLAGE</v>
          </cell>
          <cell r="E741">
            <v>43</v>
          </cell>
          <cell r="F741" t="str">
            <v>NORMAN</v>
          </cell>
          <cell r="G741">
            <v>686790</v>
          </cell>
          <cell r="H741">
            <v>0</v>
          </cell>
          <cell r="I741">
            <v>0</v>
          </cell>
          <cell r="J741">
            <v>1118695</v>
          </cell>
          <cell r="K741">
            <v>687080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2492565</v>
          </cell>
        </row>
        <row r="742">
          <cell r="B742">
            <v>50</v>
          </cell>
          <cell r="C742" t="str">
            <v>KEARNEY</v>
          </cell>
          <cell r="D742" t="str">
            <v>CITY OR VILLAGE</v>
          </cell>
          <cell r="E742">
            <v>358</v>
          </cell>
          <cell r="F742" t="str">
            <v>WILCOX</v>
          </cell>
          <cell r="G742">
            <v>103019</v>
          </cell>
          <cell r="H742">
            <v>640693</v>
          </cell>
          <cell r="I742">
            <v>108163</v>
          </cell>
          <cell r="J742">
            <v>10010730</v>
          </cell>
          <cell r="K742">
            <v>3847350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14709955</v>
          </cell>
        </row>
        <row r="743">
          <cell r="B743">
            <v>50</v>
          </cell>
          <cell r="C743" t="str">
            <v>KEARNEY</v>
          </cell>
          <cell r="D743" t="str">
            <v>CITY OR VILLAGE</v>
          </cell>
        </row>
        <row r="744">
          <cell r="B744">
            <v>50</v>
          </cell>
          <cell r="C744" t="str">
            <v>KEARNEY</v>
          </cell>
          <cell r="D744" t="str">
            <v>CITY OR VILLAGE</v>
          </cell>
        </row>
        <row r="745">
          <cell r="B745">
            <v>50</v>
          </cell>
          <cell r="C745" t="str">
            <v>KEARNEY</v>
          </cell>
          <cell r="D745" t="str">
            <v>CITY OR VILLAGE</v>
          </cell>
        </row>
        <row r="746">
          <cell r="B746">
            <v>50</v>
          </cell>
          <cell r="C746" t="str">
            <v>KEARNEY</v>
          </cell>
          <cell r="D746" t="str">
            <v>CITY OR VILLAGE</v>
          </cell>
        </row>
        <row r="747">
          <cell r="B747">
            <v>50</v>
          </cell>
          <cell r="C747" t="str">
            <v>KEARNEY</v>
          </cell>
          <cell r="D747" t="str">
            <v>CITY OR VILLAGE</v>
          </cell>
        </row>
        <row r="748">
          <cell r="B748">
            <v>50</v>
          </cell>
          <cell r="C748" t="str">
            <v>KEARNEY</v>
          </cell>
          <cell r="D748" t="str">
            <v>CITY OR VILLAGE</v>
          </cell>
        </row>
        <row r="749">
          <cell r="B749">
            <v>50</v>
          </cell>
          <cell r="C749" t="str">
            <v>KEARNEY</v>
          </cell>
          <cell r="D749" t="str">
            <v>CITY OR VILLAGE</v>
          </cell>
        </row>
        <row r="750">
          <cell r="B750">
            <v>50</v>
          </cell>
          <cell r="C750" t="str">
            <v>KEARNEY</v>
          </cell>
          <cell r="D750" t="str">
            <v>CITY OR VILLAGE</v>
          </cell>
        </row>
        <row r="751">
          <cell r="B751">
            <v>50</v>
          </cell>
          <cell r="C751" t="str">
            <v>KEARNEY</v>
          </cell>
          <cell r="D751" t="str">
            <v>CITY OR VILLAGE</v>
          </cell>
        </row>
        <row r="752">
          <cell r="B752">
            <v>50</v>
          </cell>
          <cell r="C752" t="str">
            <v>KEARNEY</v>
          </cell>
          <cell r="D752" t="str">
            <v>CITY OR VILLAGE</v>
          </cell>
        </row>
        <row r="753">
          <cell r="B753">
            <v>51</v>
          </cell>
          <cell r="C753" t="str">
            <v>KEITH</v>
          </cell>
          <cell r="D753" t="str">
            <v>CITY OR VILLAGE</v>
          </cell>
          <cell r="E753">
            <v>326</v>
          </cell>
          <cell r="F753" t="str">
            <v>BRULE</v>
          </cell>
          <cell r="G753">
            <v>310680</v>
          </cell>
          <cell r="H753">
            <v>709605</v>
          </cell>
          <cell r="I753">
            <v>1498864</v>
          </cell>
          <cell r="J753">
            <v>13713410</v>
          </cell>
          <cell r="K753">
            <v>3353380</v>
          </cell>
          <cell r="L753">
            <v>52170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19638109</v>
          </cell>
        </row>
        <row r="754">
          <cell r="B754">
            <v>51</v>
          </cell>
          <cell r="C754" t="str">
            <v>KEITH</v>
          </cell>
          <cell r="D754" t="str">
            <v>CITY OR VILLAGE</v>
          </cell>
          <cell r="E754">
            <v>4737</v>
          </cell>
          <cell r="F754" t="str">
            <v>OGALLALA</v>
          </cell>
          <cell r="G754">
            <v>10840434</v>
          </cell>
          <cell r="H754">
            <v>6214936</v>
          </cell>
          <cell r="I754">
            <v>7755408</v>
          </cell>
          <cell r="J754">
            <v>203735350</v>
          </cell>
          <cell r="K754">
            <v>89951405</v>
          </cell>
          <cell r="L754">
            <v>6595540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325093073</v>
          </cell>
        </row>
        <row r="755">
          <cell r="B755">
            <v>51</v>
          </cell>
          <cell r="C755" t="str">
            <v>KEITH</v>
          </cell>
          <cell r="D755" t="str">
            <v>CITY OR VILLAGE</v>
          </cell>
          <cell r="E755">
            <v>523</v>
          </cell>
          <cell r="F755" t="str">
            <v>PAXTON</v>
          </cell>
          <cell r="G755">
            <v>598281</v>
          </cell>
          <cell r="H755">
            <v>892468</v>
          </cell>
          <cell r="I755">
            <v>2872694</v>
          </cell>
          <cell r="J755">
            <v>18168255</v>
          </cell>
          <cell r="K755">
            <v>5226580</v>
          </cell>
          <cell r="L755">
            <v>477330</v>
          </cell>
          <cell r="M755">
            <v>0</v>
          </cell>
          <cell r="N755">
            <v>178960</v>
          </cell>
          <cell r="O755">
            <v>0</v>
          </cell>
          <cell r="P755">
            <v>0</v>
          </cell>
          <cell r="Q755">
            <v>0</v>
          </cell>
          <cell r="R755">
            <v>28414568</v>
          </cell>
        </row>
        <row r="756">
          <cell r="B756">
            <v>51</v>
          </cell>
          <cell r="C756" t="str">
            <v>KEITH</v>
          </cell>
          <cell r="D756" t="str">
            <v>CITY OR VILLAGE</v>
          </cell>
        </row>
        <row r="757">
          <cell r="B757">
            <v>51</v>
          </cell>
          <cell r="C757" t="str">
            <v>KEITH</v>
          </cell>
          <cell r="D757" t="str">
            <v>CITY OR VILLAGE</v>
          </cell>
        </row>
        <row r="758">
          <cell r="B758">
            <v>51</v>
          </cell>
          <cell r="C758" t="str">
            <v>KEITH</v>
          </cell>
          <cell r="D758" t="str">
            <v>CITY OR VILLAGE</v>
          </cell>
        </row>
        <row r="759">
          <cell r="B759">
            <v>51</v>
          </cell>
          <cell r="C759" t="str">
            <v>KEITH</v>
          </cell>
          <cell r="D759" t="str">
            <v>CITY OR VILLAGE</v>
          </cell>
        </row>
        <row r="760">
          <cell r="B760">
            <v>51</v>
          </cell>
          <cell r="C760" t="str">
            <v>KEITH</v>
          </cell>
          <cell r="D760" t="str">
            <v>CITY OR VILLAGE</v>
          </cell>
        </row>
        <row r="761">
          <cell r="B761">
            <v>51</v>
          </cell>
          <cell r="C761" t="str">
            <v>KEITH</v>
          </cell>
          <cell r="D761" t="str">
            <v>CITY OR VILLAGE</v>
          </cell>
        </row>
        <row r="762">
          <cell r="B762">
            <v>51</v>
          </cell>
          <cell r="C762" t="str">
            <v>KEITH</v>
          </cell>
          <cell r="D762" t="str">
            <v>CITY OR VILLAGE</v>
          </cell>
        </row>
        <row r="763">
          <cell r="B763">
            <v>51</v>
          </cell>
          <cell r="C763" t="str">
            <v>KEITH</v>
          </cell>
          <cell r="D763" t="str">
            <v>CITY OR VILLAGE</v>
          </cell>
        </row>
        <row r="764">
          <cell r="B764">
            <v>51</v>
          </cell>
          <cell r="C764" t="str">
            <v>KEITH</v>
          </cell>
          <cell r="D764" t="str">
            <v>CITY OR VILLAGE</v>
          </cell>
        </row>
        <row r="765">
          <cell r="B765">
            <v>51</v>
          </cell>
          <cell r="C765" t="str">
            <v>KEITH</v>
          </cell>
          <cell r="D765" t="str">
            <v>CITY OR VILLAGE</v>
          </cell>
        </row>
        <row r="766">
          <cell r="B766">
            <v>51</v>
          </cell>
          <cell r="C766" t="str">
            <v>KEITH</v>
          </cell>
          <cell r="D766" t="str">
            <v>CITY OR VILLAGE</v>
          </cell>
        </row>
        <row r="767">
          <cell r="B767">
            <v>51</v>
          </cell>
          <cell r="C767" t="str">
            <v>KEITH</v>
          </cell>
          <cell r="D767" t="str">
            <v>CITY OR VILLAGE</v>
          </cell>
        </row>
        <row r="768">
          <cell r="B768">
            <v>52</v>
          </cell>
          <cell r="C768" t="str">
            <v>KEYA PAHA</v>
          </cell>
          <cell r="D768" t="str">
            <v>CITY OR VILLAGE</v>
          </cell>
          <cell r="E768">
            <v>10</v>
          </cell>
          <cell r="F768" t="str">
            <v>BURTON</v>
          </cell>
          <cell r="G768">
            <v>0</v>
          </cell>
          <cell r="H768">
            <v>0</v>
          </cell>
          <cell r="I768">
            <v>0</v>
          </cell>
          <cell r="J768">
            <v>165600</v>
          </cell>
          <cell r="K768">
            <v>53070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218670</v>
          </cell>
        </row>
        <row r="769">
          <cell r="B769">
            <v>52</v>
          </cell>
          <cell r="C769" t="str">
            <v>KEYA PAHA</v>
          </cell>
          <cell r="D769" t="str">
            <v>CITY OR VILLAGE</v>
          </cell>
          <cell r="E769">
            <v>242</v>
          </cell>
          <cell r="F769" t="str">
            <v>SPRINGVIEW</v>
          </cell>
          <cell r="G769">
            <v>1980874</v>
          </cell>
          <cell r="H769">
            <v>156775</v>
          </cell>
          <cell r="I769">
            <v>0</v>
          </cell>
          <cell r="J769">
            <v>7504750</v>
          </cell>
          <cell r="K769">
            <v>1340250</v>
          </cell>
          <cell r="L769">
            <v>0</v>
          </cell>
          <cell r="M769">
            <v>0</v>
          </cell>
          <cell r="N769">
            <v>18540</v>
          </cell>
          <cell r="O769">
            <v>0</v>
          </cell>
          <cell r="P769">
            <v>64700</v>
          </cell>
          <cell r="Q769">
            <v>0</v>
          </cell>
          <cell r="R769">
            <v>11065889</v>
          </cell>
        </row>
        <row r="770">
          <cell r="B770">
            <v>52</v>
          </cell>
          <cell r="C770" t="str">
            <v>KEYA PAHA</v>
          </cell>
          <cell r="D770" t="str">
            <v>CITY OR VILLAGE</v>
          </cell>
        </row>
        <row r="771">
          <cell r="B771">
            <v>52</v>
          </cell>
          <cell r="C771" t="str">
            <v>KEYA PAHA</v>
          </cell>
          <cell r="D771" t="str">
            <v>CITY OR VILLAGE</v>
          </cell>
        </row>
        <row r="772">
          <cell r="B772">
            <v>52</v>
          </cell>
          <cell r="C772" t="str">
            <v>KEYA PAHA</v>
          </cell>
          <cell r="D772" t="str">
            <v>CITY OR VILLAGE</v>
          </cell>
        </row>
        <row r="773">
          <cell r="B773">
            <v>52</v>
          </cell>
          <cell r="C773" t="str">
            <v>KEYA PAHA</v>
          </cell>
          <cell r="D773" t="str">
            <v>CITY OR VILLAGE</v>
          </cell>
        </row>
        <row r="774">
          <cell r="B774">
            <v>52</v>
          </cell>
          <cell r="C774" t="str">
            <v>KEYA PAHA</v>
          </cell>
          <cell r="D774" t="str">
            <v>CITY OR VILLAGE</v>
          </cell>
        </row>
        <row r="775">
          <cell r="B775">
            <v>52</v>
          </cell>
          <cell r="C775" t="str">
            <v>KEYA PAHA</v>
          </cell>
          <cell r="D775" t="str">
            <v>CITY OR VILLAGE</v>
          </cell>
        </row>
        <row r="776">
          <cell r="B776">
            <v>52</v>
          </cell>
          <cell r="C776" t="str">
            <v>KEYA PAHA</v>
          </cell>
          <cell r="D776" t="str">
            <v>CITY OR VILLAGE</v>
          </cell>
        </row>
        <row r="777">
          <cell r="B777">
            <v>52</v>
          </cell>
          <cell r="C777" t="str">
            <v>KEYA PAHA</v>
          </cell>
          <cell r="D777" t="str">
            <v>CITY OR VILLAGE</v>
          </cell>
        </row>
        <row r="778">
          <cell r="B778">
            <v>52</v>
          </cell>
          <cell r="C778" t="str">
            <v>KEYA PAHA</v>
          </cell>
          <cell r="D778" t="str">
            <v>CITY OR VILLAGE</v>
          </cell>
        </row>
        <row r="779">
          <cell r="B779">
            <v>52</v>
          </cell>
          <cell r="C779" t="str">
            <v>KEYA PAHA</v>
          </cell>
          <cell r="D779" t="str">
            <v>CITY OR VILLAGE</v>
          </cell>
        </row>
        <row r="780">
          <cell r="B780">
            <v>52</v>
          </cell>
          <cell r="C780" t="str">
            <v>KEYA PAHA</v>
          </cell>
          <cell r="D780" t="str">
            <v>CITY OR VILLAGE</v>
          </cell>
        </row>
        <row r="781">
          <cell r="B781">
            <v>52</v>
          </cell>
          <cell r="C781" t="str">
            <v>KEYA PAHA</v>
          </cell>
          <cell r="D781" t="str">
            <v>CITY OR VILLAGE</v>
          </cell>
        </row>
        <row r="782">
          <cell r="B782">
            <v>52</v>
          </cell>
          <cell r="C782" t="str">
            <v>KEYA PAHA</v>
          </cell>
          <cell r="D782" t="str">
            <v>CITY OR VILLAGE</v>
          </cell>
        </row>
        <row r="783">
          <cell r="B783">
            <v>53</v>
          </cell>
          <cell r="C783" t="str">
            <v>KIMBALL</v>
          </cell>
          <cell r="D783" t="str">
            <v>CITY OR VILLAGE</v>
          </cell>
          <cell r="E783">
            <v>124</v>
          </cell>
          <cell r="F783" t="str">
            <v>BUSHNELL</v>
          </cell>
          <cell r="G783">
            <v>165396</v>
          </cell>
          <cell r="H783">
            <v>345258</v>
          </cell>
          <cell r="I783">
            <v>1796906</v>
          </cell>
          <cell r="J783">
            <v>3422390</v>
          </cell>
          <cell r="K783">
            <v>422490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6152440</v>
          </cell>
        </row>
        <row r="784">
          <cell r="B784">
            <v>53</v>
          </cell>
          <cell r="C784" t="str">
            <v>KIMBALL</v>
          </cell>
          <cell r="D784" t="str">
            <v>CITY OR VILLAGE</v>
          </cell>
          <cell r="E784">
            <v>255</v>
          </cell>
          <cell r="F784" t="str">
            <v>DIX</v>
          </cell>
          <cell r="G784">
            <v>115744</v>
          </cell>
          <cell r="H784">
            <v>304646</v>
          </cell>
          <cell r="I784">
            <v>1491735</v>
          </cell>
          <cell r="J784">
            <v>5991060</v>
          </cell>
          <cell r="K784">
            <v>934450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8837635</v>
          </cell>
        </row>
        <row r="785">
          <cell r="B785">
            <v>53</v>
          </cell>
          <cell r="C785" t="str">
            <v>KIMBALL</v>
          </cell>
          <cell r="D785" t="str">
            <v>CITY OR VILLAGE</v>
          </cell>
          <cell r="E785">
            <v>2496</v>
          </cell>
          <cell r="F785" t="str">
            <v>KIMBALL</v>
          </cell>
          <cell r="G785">
            <v>5972457</v>
          </cell>
          <cell r="H785">
            <v>2453647</v>
          </cell>
          <cell r="I785">
            <v>7475244</v>
          </cell>
          <cell r="J785">
            <v>72016390</v>
          </cell>
          <cell r="K785">
            <v>25199430</v>
          </cell>
          <cell r="L785">
            <v>5235220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38920</v>
          </cell>
          <cell r="R785">
            <v>118391308</v>
          </cell>
        </row>
        <row r="786">
          <cell r="B786">
            <v>53</v>
          </cell>
          <cell r="C786" t="str">
            <v>KIMBALL</v>
          </cell>
          <cell r="D786" t="str">
            <v>CITY OR VILLAGE</v>
          </cell>
        </row>
        <row r="787">
          <cell r="B787">
            <v>53</v>
          </cell>
          <cell r="C787" t="str">
            <v>KIMBALL</v>
          </cell>
          <cell r="D787" t="str">
            <v>CITY OR VILLAGE</v>
          </cell>
        </row>
        <row r="788">
          <cell r="B788">
            <v>53</v>
          </cell>
          <cell r="C788" t="str">
            <v>KIMBALL</v>
          </cell>
          <cell r="D788" t="str">
            <v>CITY OR VILLAGE</v>
          </cell>
        </row>
        <row r="789">
          <cell r="B789">
            <v>53</v>
          </cell>
          <cell r="C789" t="str">
            <v>KIMBALL</v>
          </cell>
          <cell r="D789" t="str">
            <v>CITY OR VILLAGE</v>
          </cell>
        </row>
        <row r="790">
          <cell r="B790">
            <v>53</v>
          </cell>
          <cell r="C790" t="str">
            <v>KIMBALL</v>
          </cell>
          <cell r="D790" t="str">
            <v>CITY OR VILLAGE</v>
          </cell>
        </row>
        <row r="791">
          <cell r="B791">
            <v>53</v>
          </cell>
          <cell r="C791" t="str">
            <v>KIMBALL</v>
          </cell>
          <cell r="D791" t="str">
            <v>CITY OR VILLAGE</v>
          </cell>
        </row>
        <row r="792">
          <cell r="B792">
            <v>53</v>
          </cell>
          <cell r="C792" t="str">
            <v>KIMBALL</v>
          </cell>
          <cell r="D792" t="str">
            <v>CITY OR VILLAGE</v>
          </cell>
        </row>
        <row r="793">
          <cell r="B793">
            <v>53</v>
          </cell>
          <cell r="C793" t="str">
            <v>KIMBALL</v>
          </cell>
          <cell r="D793" t="str">
            <v>CITY OR VILLAGE</v>
          </cell>
        </row>
        <row r="794">
          <cell r="B794">
            <v>53</v>
          </cell>
          <cell r="C794" t="str">
            <v>KIMBALL</v>
          </cell>
          <cell r="D794" t="str">
            <v>CITY OR VILLAGE</v>
          </cell>
        </row>
        <row r="795">
          <cell r="B795">
            <v>53</v>
          </cell>
          <cell r="C795" t="str">
            <v>KIMBALL</v>
          </cell>
          <cell r="D795" t="str">
            <v>CITY OR VILLAGE</v>
          </cell>
        </row>
        <row r="796">
          <cell r="B796">
            <v>53</v>
          </cell>
          <cell r="C796" t="str">
            <v>KIMBALL</v>
          </cell>
          <cell r="D796" t="str">
            <v>CITY OR VILLAGE</v>
          </cell>
        </row>
        <row r="797">
          <cell r="B797">
            <v>53</v>
          </cell>
          <cell r="C797" t="str">
            <v>KIMBALL</v>
          </cell>
          <cell r="D797" t="str">
            <v>CITY OR VILLAGE</v>
          </cell>
        </row>
        <row r="798">
          <cell r="B798">
            <v>54</v>
          </cell>
          <cell r="C798" t="str">
            <v>KNOX</v>
          </cell>
          <cell r="D798" t="str">
            <v>CITY OR VILLAGE</v>
          </cell>
          <cell r="E798">
            <v>29</v>
          </cell>
          <cell r="F798" t="str">
            <v>BAZILE MILLS</v>
          </cell>
          <cell r="G798">
            <v>79923</v>
          </cell>
          <cell r="H798">
            <v>5202</v>
          </cell>
          <cell r="I798">
            <v>1152</v>
          </cell>
          <cell r="J798">
            <v>1065670</v>
          </cell>
          <cell r="K798">
            <v>71335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1223282</v>
          </cell>
        </row>
        <row r="799">
          <cell r="B799">
            <v>54</v>
          </cell>
          <cell r="C799" t="str">
            <v>KNOX</v>
          </cell>
          <cell r="D799" t="str">
            <v>CITY OR VILLAGE</v>
          </cell>
          <cell r="E799">
            <v>1028</v>
          </cell>
          <cell r="F799" t="str">
            <v>BLOOMFIELD</v>
          </cell>
          <cell r="G799">
            <v>1880788</v>
          </cell>
          <cell r="H799">
            <v>2334921</v>
          </cell>
          <cell r="I799">
            <v>479845</v>
          </cell>
          <cell r="J799">
            <v>27898030</v>
          </cell>
          <cell r="K799">
            <v>12498560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45092144</v>
          </cell>
        </row>
        <row r="800">
          <cell r="B800">
            <v>54</v>
          </cell>
          <cell r="C800" t="str">
            <v>KNOX</v>
          </cell>
          <cell r="D800" t="str">
            <v>CITY OR VILLAGE</v>
          </cell>
          <cell r="E800">
            <v>94</v>
          </cell>
          <cell r="F800" t="str">
            <v>CENTER</v>
          </cell>
          <cell r="G800">
            <v>34301</v>
          </cell>
          <cell r="H800">
            <v>160925</v>
          </cell>
          <cell r="I800">
            <v>35637</v>
          </cell>
          <cell r="J800">
            <v>1395375</v>
          </cell>
          <cell r="K800">
            <v>326810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1953048</v>
          </cell>
        </row>
        <row r="801">
          <cell r="B801">
            <v>54</v>
          </cell>
          <cell r="C801" t="str">
            <v>KNOX</v>
          </cell>
          <cell r="D801" t="str">
            <v>CITY OR VILLAGE</v>
          </cell>
          <cell r="E801">
            <v>1154</v>
          </cell>
          <cell r="F801" t="str">
            <v>CREIGHTON</v>
          </cell>
          <cell r="G801">
            <v>1649081</v>
          </cell>
          <cell r="H801">
            <v>739175</v>
          </cell>
          <cell r="I801">
            <v>134247</v>
          </cell>
          <cell r="J801">
            <v>34324720</v>
          </cell>
          <cell r="K801">
            <v>5970635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42817858</v>
          </cell>
        </row>
        <row r="802">
          <cell r="B802">
            <v>54</v>
          </cell>
          <cell r="C802" t="str">
            <v>KNOX</v>
          </cell>
          <cell r="D802" t="str">
            <v>CITY OR VILLAGE</v>
          </cell>
          <cell r="E802">
            <v>726</v>
          </cell>
          <cell r="F802" t="str">
            <v>CROFTON</v>
          </cell>
          <cell r="G802">
            <v>858370</v>
          </cell>
          <cell r="H802">
            <v>645524</v>
          </cell>
          <cell r="I802">
            <v>123254</v>
          </cell>
          <cell r="J802">
            <v>29738555</v>
          </cell>
          <cell r="K802">
            <v>5007965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36373668</v>
          </cell>
        </row>
        <row r="803">
          <cell r="B803">
            <v>54</v>
          </cell>
          <cell r="C803" t="str">
            <v>KNOX</v>
          </cell>
          <cell r="D803" t="str">
            <v>CITY OR VILLAGE</v>
          </cell>
          <cell r="E803">
            <v>370</v>
          </cell>
          <cell r="F803" t="str">
            <v>NIOBRARA</v>
          </cell>
          <cell r="G803">
            <v>393677</v>
          </cell>
          <cell r="H803">
            <v>382876</v>
          </cell>
          <cell r="I803">
            <v>84789</v>
          </cell>
          <cell r="J803">
            <v>10220420</v>
          </cell>
          <cell r="K803">
            <v>2845760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13927522</v>
          </cell>
        </row>
        <row r="804">
          <cell r="B804">
            <v>54</v>
          </cell>
          <cell r="C804" t="str">
            <v>KNOX</v>
          </cell>
          <cell r="D804" t="str">
            <v>CITY OR VILLAGE</v>
          </cell>
          <cell r="E804">
            <v>346</v>
          </cell>
          <cell r="F804" t="str">
            <v>SANTEE</v>
          </cell>
          <cell r="G804">
            <v>37071</v>
          </cell>
          <cell r="H804">
            <v>21849</v>
          </cell>
          <cell r="I804">
            <v>4839</v>
          </cell>
          <cell r="J804">
            <v>240630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304389</v>
          </cell>
        </row>
        <row r="805">
          <cell r="B805">
            <v>54</v>
          </cell>
          <cell r="C805" t="str">
            <v>KNOX</v>
          </cell>
          <cell r="D805" t="str">
            <v>CITY OR VILLAGE</v>
          </cell>
          <cell r="E805">
            <v>30</v>
          </cell>
          <cell r="F805" t="str">
            <v>VERDEL</v>
          </cell>
          <cell r="G805">
            <v>38299</v>
          </cell>
          <cell r="H805">
            <v>0</v>
          </cell>
          <cell r="I805">
            <v>0</v>
          </cell>
          <cell r="J805">
            <v>615640</v>
          </cell>
          <cell r="K805">
            <v>41080</v>
          </cell>
          <cell r="L805">
            <v>0</v>
          </cell>
          <cell r="M805">
            <v>54415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749434</v>
          </cell>
        </row>
        <row r="806">
          <cell r="B806">
            <v>54</v>
          </cell>
          <cell r="C806" t="str">
            <v>KNOX</v>
          </cell>
          <cell r="D806" t="str">
            <v>CITY OR VILLAGE</v>
          </cell>
          <cell r="E806">
            <v>575</v>
          </cell>
          <cell r="F806" t="str">
            <v>VERDIGRE</v>
          </cell>
          <cell r="G806">
            <v>1328330</v>
          </cell>
          <cell r="H806">
            <v>378168</v>
          </cell>
          <cell r="I806">
            <v>83746</v>
          </cell>
          <cell r="J806">
            <v>12887095</v>
          </cell>
          <cell r="K806">
            <v>2778295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17455634</v>
          </cell>
        </row>
        <row r="807">
          <cell r="B807">
            <v>54</v>
          </cell>
          <cell r="C807" t="str">
            <v>KNOX</v>
          </cell>
          <cell r="D807" t="str">
            <v>CITY OR VILLAGE</v>
          </cell>
          <cell r="E807">
            <v>634</v>
          </cell>
          <cell r="F807" t="str">
            <v>WAUSA</v>
          </cell>
          <cell r="G807">
            <v>2581864</v>
          </cell>
          <cell r="H807">
            <v>832697</v>
          </cell>
          <cell r="I807">
            <v>166820</v>
          </cell>
          <cell r="J807">
            <v>16272220</v>
          </cell>
          <cell r="K807">
            <v>3373505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23227106</v>
          </cell>
        </row>
        <row r="808">
          <cell r="B808">
            <v>54</v>
          </cell>
          <cell r="C808" t="str">
            <v>KNOX</v>
          </cell>
          <cell r="D808" t="str">
            <v>CITY OR VILLAGE</v>
          </cell>
          <cell r="E808">
            <v>68</v>
          </cell>
          <cell r="F808" t="str">
            <v>WINNETOON</v>
          </cell>
          <cell r="G808">
            <v>110485</v>
          </cell>
          <cell r="H808">
            <v>148726</v>
          </cell>
          <cell r="I808">
            <v>32936</v>
          </cell>
          <cell r="J808">
            <v>1266255</v>
          </cell>
          <cell r="K808">
            <v>332300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1890702</v>
          </cell>
        </row>
        <row r="809">
          <cell r="B809">
            <v>54</v>
          </cell>
          <cell r="C809" t="str">
            <v>KNOX</v>
          </cell>
          <cell r="D809" t="str">
            <v>CITY OR VILLAGE</v>
          </cell>
        </row>
        <row r="810">
          <cell r="B810">
            <v>54</v>
          </cell>
          <cell r="C810" t="str">
            <v>KNOX</v>
          </cell>
          <cell r="D810" t="str">
            <v>CITY OR VILLAGE</v>
          </cell>
        </row>
        <row r="811">
          <cell r="B811">
            <v>54</v>
          </cell>
          <cell r="C811" t="str">
            <v>KNOX</v>
          </cell>
          <cell r="D811" t="str">
            <v>CITY OR VILLAGE</v>
          </cell>
        </row>
        <row r="812">
          <cell r="B812">
            <v>54</v>
          </cell>
          <cell r="C812" t="str">
            <v>KNOX</v>
          </cell>
          <cell r="D812" t="str">
            <v>CITY OR VILLAGE</v>
          </cell>
        </row>
        <row r="813">
          <cell r="B813">
            <v>55</v>
          </cell>
          <cell r="C813" t="str">
            <v>LANCASTER</v>
          </cell>
          <cell r="D813" t="str">
            <v>CITY OR VILLAGE</v>
          </cell>
          <cell r="E813">
            <v>719</v>
          </cell>
          <cell r="F813" t="str">
            <v>BENNET</v>
          </cell>
          <cell r="G813">
            <v>2371800</v>
          </cell>
          <cell r="H813">
            <v>438639</v>
          </cell>
          <cell r="I813">
            <v>37205</v>
          </cell>
          <cell r="J813">
            <v>69299000</v>
          </cell>
          <cell r="K813">
            <v>5852900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77999544</v>
          </cell>
        </row>
        <row r="814">
          <cell r="B814">
            <v>55</v>
          </cell>
          <cell r="C814" t="str">
            <v>LANCASTER</v>
          </cell>
          <cell r="D814" t="str">
            <v>CITY OR VILLAGE</v>
          </cell>
          <cell r="E814">
            <v>154</v>
          </cell>
          <cell r="F814" t="str">
            <v>DAVEY</v>
          </cell>
          <cell r="G814">
            <v>76712</v>
          </cell>
          <cell r="H814">
            <v>78085</v>
          </cell>
          <cell r="I814">
            <v>3690</v>
          </cell>
          <cell r="J814">
            <v>8961900</v>
          </cell>
          <cell r="K814">
            <v>1193000</v>
          </cell>
          <cell r="L814">
            <v>22000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10335387</v>
          </cell>
        </row>
        <row r="815">
          <cell r="B815">
            <v>55</v>
          </cell>
          <cell r="C815" t="str">
            <v>LANCASTER</v>
          </cell>
          <cell r="D815" t="str">
            <v>CITY OR VILLAGE</v>
          </cell>
          <cell r="E815">
            <v>190</v>
          </cell>
          <cell r="F815" t="str">
            <v>DENTON</v>
          </cell>
          <cell r="G815">
            <v>495134</v>
          </cell>
          <cell r="H815">
            <v>281700</v>
          </cell>
          <cell r="I815">
            <v>859088</v>
          </cell>
          <cell r="J815">
            <v>12237700</v>
          </cell>
          <cell r="K815">
            <v>1178500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15052122</v>
          </cell>
        </row>
        <row r="816">
          <cell r="B816">
            <v>55</v>
          </cell>
          <cell r="C816" t="str">
            <v>LANCASTER</v>
          </cell>
          <cell r="D816" t="str">
            <v>CITY OR VILLAGE</v>
          </cell>
          <cell r="E816">
            <v>590</v>
          </cell>
          <cell r="F816" t="str">
            <v>FIRTH</v>
          </cell>
          <cell r="G816">
            <v>331605</v>
          </cell>
          <cell r="H816">
            <v>496868</v>
          </cell>
          <cell r="I816">
            <v>574162</v>
          </cell>
          <cell r="J816">
            <v>30350300</v>
          </cell>
          <cell r="K816">
            <v>4058100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35811035</v>
          </cell>
        </row>
        <row r="817">
          <cell r="B817">
            <v>55</v>
          </cell>
          <cell r="C817" t="str">
            <v>LANCASTER</v>
          </cell>
          <cell r="D817" t="str">
            <v>CITY OR VILLAGE</v>
          </cell>
          <cell r="E817">
            <v>213</v>
          </cell>
          <cell r="F817" t="str">
            <v>HALLAM</v>
          </cell>
          <cell r="G817">
            <v>497648</v>
          </cell>
          <cell r="H817">
            <v>215844</v>
          </cell>
          <cell r="I817">
            <v>316746</v>
          </cell>
          <cell r="J817">
            <v>18756800</v>
          </cell>
          <cell r="K817">
            <v>3433900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23220938</v>
          </cell>
        </row>
        <row r="818">
          <cell r="B818">
            <v>55</v>
          </cell>
          <cell r="C818" t="str">
            <v>LANCASTER</v>
          </cell>
          <cell r="D818" t="str">
            <v>CITY OR VILLAGE</v>
          </cell>
          <cell r="E818">
            <v>1657</v>
          </cell>
          <cell r="F818" t="str">
            <v>HICKMAN</v>
          </cell>
          <cell r="G818">
            <v>1398870</v>
          </cell>
          <cell r="H818">
            <v>859114</v>
          </cell>
          <cell r="I818">
            <v>1769523</v>
          </cell>
          <cell r="J818">
            <v>179011000</v>
          </cell>
          <cell r="K818">
            <v>18434850</v>
          </cell>
          <cell r="L818">
            <v>0</v>
          </cell>
          <cell r="M818">
            <v>0</v>
          </cell>
          <cell r="N818">
            <v>92900</v>
          </cell>
          <cell r="O818">
            <v>0</v>
          </cell>
          <cell r="P818">
            <v>0</v>
          </cell>
          <cell r="Q818">
            <v>0</v>
          </cell>
          <cell r="R818">
            <v>201566257</v>
          </cell>
        </row>
        <row r="819">
          <cell r="B819">
            <v>55</v>
          </cell>
          <cell r="C819" t="str">
            <v>LANCASTER</v>
          </cell>
          <cell r="D819" t="str">
            <v>CITY OR VILLAGE</v>
          </cell>
          <cell r="E819">
            <v>258818</v>
          </cell>
          <cell r="F819" t="str">
            <v>LINCOLN</v>
          </cell>
          <cell r="G819">
            <v>689643532</v>
          </cell>
          <cell r="H819">
            <v>274215073</v>
          </cell>
          <cell r="I819">
            <v>157454201</v>
          </cell>
          <cell r="J819">
            <v>16152435723</v>
          </cell>
          <cell r="K819">
            <v>6414559024</v>
          </cell>
          <cell r="L819">
            <v>360527821</v>
          </cell>
          <cell r="M819">
            <v>0</v>
          </cell>
          <cell r="N819">
            <v>924600</v>
          </cell>
          <cell r="O819">
            <v>0</v>
          </cell>
          <cell r="P819">
            <v>0</v>
          </cell>
          <cell r="Q819">
            <v>0</v>
          </cell>
          <cell r="R819">
            <v>24049759974</v>
          </cell>
        </row>
        <row r="820">
          <cell r="B820">
            <v>55</v>
          </cell>
          <cell r="C820" t="str">
            <v>LANCASTER</v>
          </cell>
          <cell r="D820" t="str">
            <v>CITY OR VILLAGE</v>
          </cell>
          <cell r="E820">
            <v>382</v>
          </cell>
          <cell r="F820" t="str">
            <v>MALCOLM</v>
          </cell>
          <cell r="G820">
            <v>519528</v>
          </cell>
          <cell r="H820">
            <v>114926</v>
          </cell>
          <cell r="I820">
            <v>5430</v>
          </cell>
          <cell r="J820">
            <v>24335400</v>
          </cell>
          <cell r="K820">
            <v>2203000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27178284</v>
          </cell>
        </row>
        <row r="821">
          <cell r="B821">
            <v>55</v>
          </cell>
          <cell r="C821" t="str">
            <v>LANCASTER</v>
          </cell>
          <cell r="D821" t="str">
            <v>CITY OR VILLAGE</v>
          </cell>
          <cell r="E821">
            <v>256</v>
          </cell>
          <cell r="F821" t="str">
            <v>PANAMA</v>
          </cell>
          <cell r="G821">
            <v>35072</v>
          </cell>
          <cell r="H821">
            <v>173926</v>
          </cell>
          <cell r="I821">
            <v>14185</v>
          </cell>
          <cell r="J821">
            <v>16398300</v>
          </cell>
          <cell r="K821">
            <v>1297000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17918483</v>
          </cell>
        </row>
        <row r="822">
          <cell r="B822">
            <v>55</v>
          </cell>
          <cell r="C822" t="str">
            <v>LANCASTER</v>
          </cell>
          <cell r="D822" t="str">
            <v>CITY OR VILLAGE</v>
          </cell>
          <cell r="E822">
            <v>167</v>
          </cell>
          <cell r="F822" t="str">
            <v>RAYMOND</v>
          </cell>
          <cell r="G822">
            <v>367230</v>
          </cell>
          <cell r="H822">
            <v>167670</v>
          </cell>
          <cell r="I822">
            <v>417331</v>
          </cell>
          <cell r="J822">
            <v>10001100</v>
          </cell>
          <cell r="K822">
            <v>922800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11876131</v>
          </cell>
        </row>
        <row r="823">
          <cell r="B823">
            <v>55</v>
          </cell>
          <cell r="C823" t="str">
            <v>LANCASTER</v>
          </cell>
          <cell r="D823" t="str">
            <v>CITY OR VILLAGE</v>
          </cell>
          <cell r="E823">
            <v>220</v>
          </cell>
          <cell r="F823" t="str">
            <v>ROCA</v>
          </cell>
          <cell r="G823">
            <v>28812</v>
          </cell>
          <cell r="H823">
            <v>111935</v>
          </cell>
          <cell r="I823">
            <v>561198</v>
          </cell>
          <cell r="J823">
            <v>14009500</v>
          </cell>
          <cell r="K823">
            <v>1388900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16100345</v>
          </cell>
        </row>
        <row r="824">
          <cell r="B824">
            <v>55</v>
          </cell>
          <cell r="C824" t="str">
            <v>LANCASTER</v>
          </cell>
          <cell r="D824" t="str">
            <v>CITY OR VILLAGE</v>
          </cell>
          <cell r="E824">
            <v>142</v>
          </cell>
          <cell r="F824" t="str">
            <v>SPRAGUE</v>
          </cell>
          <cell r="G824">
            <v>7901</v>
          </cell>
          <cell r="H824">
            <v>88797</v>
          </cell>
          <cell r="I824">
            <v>4196</v>
          </cell>
          <cell r="J824">
            <v>8722100</v>
          </cell>
          <cell r="K824">
            <v>691900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9514894</v>
          </cell>
        </row>
        <row r="825">
          <cell r="B825">
            <v>55</v>
          </cell>
          <cell r="C825" t="str">
            <v>LANCASTER</v>
          </cell>
          <cell r="D825" t="str">
            <v>CITY OR VILLAGE</v>
          </cell>
          <cell r="E825">
            <v>3277</v>
          </cell>
          <cell r="F825" t="str">
            <v>WAVERLY</v>
          </cell>
          <cell r="G825">
            <v>17475341</v>
          </cell>
          <cell r="H825">
            <v>1535277</v>
          </cell>
          <cell r="I825">
            <v>1411367</v>
          </cell>
          <cell r="J825">
            <v>264440800</v>
          </cell>
          <cell r="K825">
            <v>37147400</v>
          </cell>
          <cell r="L825">
            <v>28539369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350549554</v>
          </cell>
        </row>
        <row r="826">
          <cell r="B826">
            <v>55</v>
          </cell>
          <cell r="C826" t="str">
            <v>LANCASTER</v>
          </cell>
          <cell r="D826" t="str">
            <v>CITY OR VILLAGE</v>
          </cell>
        </row>
        <row r="827">
          <cell r="B827">
            <v>55</v>
          </cell>
          <cell r="C827" t="str">
            <v>LANCASTER</v>
          </cell>
          <cell r="D827" t="str">
            <v>CITY OR VILLAGE</v>
          </cell>
        </row>
        <row r="828">
          <cell r="B828">
            <v>56</v>
          </cell>
          <cell r="C828" t="str">
            <v>LINCOLN</v>
          </cell>
          <cell r="D828" t="str">
            <v>CITY OR VILLAGE</v>
          </cell>
          <cell r="E828">
            <v>428</v>
          </cell>
          <cell r="F828" t="str">
            <v>BRADY</v>
          </cell>
          <cell r="G828">
            <v>102068</v>
          </cell>
          <cell r="H828">
            <v>959132</v>
          </cell>
          <cell r="I828">
            <v>3209382</v>
          </cell>
          <cell r="J828">
            <v>13482374</v>
          </cell>
          <cell r="K828">
            <v>959132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18712088</v>
          </cell>
        </row>
        <row r="829">
          <cell r="B829">
            <v>56</v>
          </cell>
          <cell r="C829" t="str">
            <v>LINCOLN</v>
          </cell>
          <cell r="D829" t="str">
            <v>CITY OR VILLAGE</v>
          </cell>
          <cell r="E829">
            <v>665</v>
          </cell>
          <cell r="F829" t="str">
            <v>HERSHEY</v>
          </cell>
          <cell r="G829">
            <v>1369569</v>
          </cell>
          <cell r="H829">
            <v>1143725</v>
          </cell>
          <cell r="I829">
            <v>5673702</v>
          </cell>
          <cell r="J829">
            <v>34998835</v>
          </cell>
          <cell r="K829">
            <v>9608430</v>
          </cell>
          <cell r="L829">
            <v>0</v>
          </cell>
          <cell r="M829">
            <v>0</v>
          </cell>
          <cell r="N829">
            <v>251958</v>
          </cell>
          <cell r="O829">
            <v>0</v>
          </cell>
          <cell r="P829">
            <v>0</v>
          </cell>
          <cell r="Q829">
            <v>0</v>
          </cell>
          <cell r="R829">
            <v>53046219</v>
          </cell>
        </row>
        <row r="830">
          <cell r="B830">
            <v>56</v>
          </cell>
          <cell r="C830" t="str">
            <v>LINCOLN</v>
          </cell>
          <cell r="D830" t="str">
            <v>CITY OR VILLAGE</v>
          </cell>
          <cell r="E830">
            <v>312</v>
          </cell>
          <cell r="F830" t="str">
            <v>MAXWELL</v>
          </cell>
          <cell r="G830">
            <v>98887</v>
          </cell>
          <cell r="H830">
            <v>935739</v>
          </cell>
          <cell r="I830">
            <v>4290803</v>
          </cell>
          <cell r="J830">
            <v>7856255</v>
          </cell>
          <cell r="K830">
            <v>771085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13952769</v>
          </cell>
        </row>
        <row r="831">
          <cell r="B831">
            <v>56</v>
          </cell>
          <cell r="C831" t="str">
            <v>LINCOLN</v>
          </cell>
          <cell r="D831" t="str">
            <v>CITY OR VILLAGE</v>
          </cell>
          <cell r="E831">
            <v>24733</v>
          </cell>
          <cell r="F831" t="str">
            <v>NORTH PLATTE</v>
          </cell>
          <cell r="G831">
            <v>58508544</v>
          </cell>
          <cell r="H831">
            <v>26944817</v>
          </cell>
          <cell r="I831">
            <v>35473938</v>
          </cell>
          <cell r="J831">
            <v>959257110</v>
          </cell>
          <cell r="K831">
            <v>536773800</v>
          </cell>
          <cell r="L831">
            <v>1397360</v>
          </cell>
          <cell r="M831">
            <v>0</v>
          </cell>
          <cell r="N831">
            <v>766167</v>
          </cell>
          <cell r="O831">
            <v>0</v>
          </cell>
          <cell r="P831">
            <v>15078</v>
          </cell>
          <cell r="Q831">
            <v>0</v>
          </cell>
          <cell r="R831">
            <v>1619136814</v>
          </cell>
        </row>
        <row r="832">
          <cell r="B832">
            <v>56</v>
          </cell>
          <cell r="C832" t="str">
            <v>LINCOLN</v>
          </cell>
          <cell r="D832" t="str">
            <v>CITY OR VILLAGE</v>
          </cell>
          <cell r="E832">
            <v>1286</v>
          </cell>
          <cell r="F832" t="str">
            <v>SUTHERLAND</v>
          </cell>
          <cell r="G832">
            <v>2926448</v>
          </cell>
          <cell r="H832">
            <v>1717139</v>
          </cell>
          <cell r="I832">
            <v>3911393</v>
          </cell>
          <cell r="J832">
            <v>61703790</v>
          </cell>
          <cell r="K832">
            <v>6151092</v>
          </cell>
          <cell r="L832">
            <v>3059992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79469854</v>
          </cell>
        </row>
        <row r="833">
          <cell r="B833">
            <v>56</v>
          </cell>
          <cell r="C833" t="str">
            <v>LINCOLN</v>
          </cell>
          <cell r="D833" t="str">
            <v>CITY OR VILLAGE</v>
          </cell>
          <cell r="E833">
            <v>366</v>
          </cell>
          <cell r="F833" t="str">
            <v>WALLACE</v>
          </cell>
          <cell r="G833">
            <v>479206</v>
          </cell>
          <cell r="H833">
            <v>141983</v>
          </cell>
          <cell r="I833">
            <v>25456</v>
          </cell>
          <cell r="J833">
            <v>9882957</v>
          </cell>
          <cell r="K833">
            <v>2890499</v>
          </cell>
          <cell r="L833">
            <v>0</v>
          </cell>
          <cell r="M833">
            <v>0</v>
          </cell>
          <cell r="N833">
            <v>184555</v>
          </cell>
          <cell r="O833">
            <v>4275</v>
          </cell>
          <cell r="P833">
            <v>14291</v>
          </cell>
          <cell r="Q833">
            <v>0</v>
          </cell>
          <cell r="R833">
            <v>13623222</v>
          </cell>
        </row>
        <row r="834">
          <cell r="B834">
            <v>56</v>
          </cell>
          <cell r="C834" t="str">
            <v>LINCOLN</v>
          </cell>
          <cell r="D834" t="str">
            <v>CITY OR VILLAGE</v>
          </cell>
          <cell r="E834">
            <v>78</v>
          </cell>
          <cell r="F834" t="str">
            <v>WELLFLEET</v>
          </cell>
          <cell r="G834">
            <v>14965</v>
          </cell>
          <cell r="H834">
            <v>147152</v>
          </cell>
          <cell r="I834">
            <v>98947</v>
          </cell>
          <cell r="J834">
            <v>1815099</v>
          </cell>
          <cell r="K834">
            <v>104681</v>
          </cell>
          <cell r="L834">
            <v>0</v>
          </cell>
          <cell r="M834">
            <v>0</v>
          </cell>
          <cell r="N834">
            <v>25079</v>
          </cell>
          <cell r="O834">
            <v>0</v>
          </cell>
          <cell r="P834">
            <v>0</v>
          </cell>
          <cell r="Q834">
            <v>0</v>
          </cell>
          <cell r="R834">
            <v>2205923</v>
          </cell>
        </row>
        <row r="835">
          <cell r="B835">
            <v>56</v>
          </cell>
          <cell r="C835" t="str">
            <v>LINCOLN</v>
          </cell>
          <cell r="D835" t="str">
            <v>CITY OR VILLAGE</v>
          </cell>
        </row>
        <row r="836">
          <cell r="B836">
            <v>56</v>
          </cell>
          <cell r="C836" t="str">
            <v>LINCOLN</v>
          </cell>
          <cell r="D836" t="str">
            <v>CITY OR VILLAGE</v>
          </cell>
        </row>
        <row r="837">
          <cell r="B837">
            <v>56</v>
          </cell>
          <cell r="C837" t="str">
            <v>LINCOLN</v>
          </cell>
          <cell r="D837" t="str">
            <v>CITY OR VILLAGE</v>
          </cell>
        </row>
        <row r="838">
          <cell r="B838">
            <v>56</v>
          </cell>
          <cell r="C838" t="str">
            <v>LINCOLN</v>
          </cell>
          <cell r="D838" t="str">
            <v>CITY OR VILLAGE</v>
          </cell>
        </row>
        <row r="839">
          <cell r="B839">
            <v>56</v>
          </cell>
          <cell r="C839" t="str">
            <v>LINCOLN</v>
          </cell>
          <cell r="D839" t="str">
            <v>CITY OR VILLAGE</v>
          </cell>
        </row>
        <row r="840">
          <cell r="B840">
            <v>56</v>
          </cell>
          <cell r="C840" t="str">
            <v>LINCOLN</v>
          </cell>
          <cell r="D840" t="str">
            <v>CITY OR VILLAGE</v>
          </cell>
        </row>
        <row r="841">
          <cell r="B841">
            <v>56</v>
          </cell>
          <cell r="C841" t="str">
            <v>LINCOLN</v>
          </cell>
          <cell r="D841" t="str">
            <v>CITY OR VILLAGE</v>
          </cell>
        </row>
        <row r="842">
          <cell r="B842">
            <v>56</v>
          </cell>
          <cell r="C842" t="str">
            <v>LINCOLN</v>
          </cell>
          <cell r="D842" t="str">
            <v>CITY OR VILLAGE</v>
          </cell>
        </row>
        <row r="843">
          <cell r="B843">
            <v>57</v>
          </cell>
          <cell r="C843" t="str">
            <v>LOGAN</v>
          </cell>
          <cell r="D843" t="str">
            <v>CITY OR VILLAGE</v>
          </cell>
          <cell r="E843">
            <v>32</v>
          </cell>
          <cell r="F843" t="str">
            <v>GANDY</v>
          </cell>
          <cell r="G843">
            <v>6243</v>
          </cell>
          <cell r="H843">
            <v>0</v>
          </cell>
          <cell r="I843">
            <v>0</v>
          </cell>
          <cell r="J843">
            <v>1015025</v>
          </cell>
          <cell r="K843">
            <v>10121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1031389</v>
          </cell>
        </row>
        <row r="844">
          <cell r="B844">
            <v>57</v>
          </cell>
          <cell r="C844" t="str">
            <v>LOGAN</v>
          </cell>
          <cell r="D844" t="str">
            <v>CITY OR VILLAGE</v>
          </cell>
          <cell r="E844">
            <v>305</v>
          </cell>
          <cell r="F844" t="str">
            <v>STAPLETON</v>
          </cell>
          <cell r="G844">
            <v>382005</v>
          </cell>
          <cell r="H844">
            <v>410276</v>
          </cell>
          <cell r="I844">
            <v>90857</v>
          </cell>
          <cell r="J844">
            <v>9399601</v>
          </cell>
          <cell r="K844">
            <v>1306490</v>
          </cell>
          <cell r="L844">
            <v>0</v>
          </cell>
          <cell r="M844">
            <v>0</v>
          </cell>
          <cell r="N844">
            <v>5587</v>
          </cell>
          <cell r="O844">
            <v>0</v>
          </cell>
          <cell r="P844">
            <v>0</v>
          </cell>
          <cell r="Q844">
            <v>0</v>
          </cell>
          <cell r="R844">
            <v>11594816</v>
          </cell>
        </row>
        <row r="845">
          <cell r="B845">
            <v>57</v>
          </cell>
          <cell r="C845" t="str">
            <v>LOGAN</v>
          </cell>
          <cell r="D845" t="str">
            <v>CITY OR VILLAGE</v>
          </cell>
        </row>
        <row r="846">
          <cell r="B846">
            <v>57</v>
          </cell>
          <cell r="C846" t="str">
            <v>LOGAN</v>
          </cell>
          <cell r="D846" t="str">
            <v>CITY OR VILLAGE</v>
          </cell>
        </row>
        <row r="847">
          <cell r="B847">
            <v>57</v>
          </cell>
          <cell r="C847" t="str">
            <v>LOGAN</v>
          </cell>
          <cell r="D847" t="str">
            <v>CITY OR VILLAGE</v>
          </cell>
        </row>
        <row r="848">
          <cell r="B848">
            <v>57</v>
          </cell>
          <cell r="C848" t="str">
            <v>LOGAN</v>
          </cell>
          <cell r="D848" t="str">
            <v>CITY OR VILLAGE</v>
          </cell>
        </row>
        <row r="849">
          <cell r="B849">
            <v>57</v>
          </cell>
          <cell r="C849" t="str">
            <v>LOGAN</v>
          </cell>
          <cell r="D849" t="str">
            <v>CITY OR VILLAGE</v>
          </cell>
        </row>
        <row r="850">
          <cell r="B850">
            <v>57</v>
          </cell>
          <cell r="C850" t="str">
            <v>LOGAN</v>
          </cell>
          <cell r="D850" t="str">
            <v>CITY OR VILLAGE</v>
          </cell>
        </row>
        <row r="851">
          <cell r="B851">
            <v>57</v>
          </cell>
          <cell r="C851" t="str">
            <v>LOGAN</v>
          </cell>
          <cell r="D851" t="str">
            <v>CITY OR VILLAGE</v>
          </cell>
        </row>
        <row r="852">
          <cell r="B852">
            <v>57</v>
          </cell>
          <cell r="C852" t="str">
            <v>LOGAN</v>
          </cell>
          <cell r="D852" t="str">
            <v>CITY OR VILLAGE</v>
          </cell>
        </row>
        <row r="853">
          <cell r="B853">
            <v>57</v>
          </cell>
          <cell r="C853" t="str">
            <v>LOGAN</v>
          </cell>
          <cell r="D853" t="str">
            <v>CITY OR VILLAGE</v>
          </cell>
        </row>
        <row r="854">
          <cell r="B854">
            <v>57</v>
          </cell>
          <cell r="C854" t="str">
            <v>LOGAN</v>
          </cell>
          <cell r="D854" t="str">
            <v>CITY OR VILLAGE</v>
          </cell>
        </row>
        <row r="855">
          <cell r="B855">
            <v>57</v>
          </cell>
          <cell r="C855" t="str">
            <v>LOGAN</v>
          </cell>
          <cell r="D855" t="str">
            <v>CITY OR VILLAGE</v>
          </cell>
        </row>
        <row r="856">
          <cell r="B856">
            <v>57</v>
          </cell>
          <cell r="C856" t="str">
            <v>LOGAN</v>
          </cell>
          <cell r="D856" t="str">
            <v>CITY OR VILLAGE</v>
          </cell>
        </row>
        <row r="857">
          <cell r="B857">
            <v>57</v>
          </cell>
          <cell r="C857" t="str">
            <v>LOGAN</v>
          </cell>
          <cell r="D857" t="str">
            <v>CITY OR VILLAGE</v>
          </cell>
        </row>
        <row r="858">
          <cell r="B858">
            <v>58</v>
          </cell>
          <cell r="C858" t="str">
            <v>LOUP</v>
          </cell>
          <cell r="D858" t="str">
            <v>CITY OR VILLAGE</v>
          </cell>
          <cell r="E858">
            <v>190</v>
          </cell>
          <cell r="F858" t="str">
            <v>TAYLOR</v>
          </cell>
          <cell r="G858">
            <v>199580</v>
          </cell>
          <cell r="H858">
            <v>89615</v>
          </cell>
          <cell r="I858">
            <v>4670</v>
          </cell>
          <cell r="J858">
            <v>3628150</v>
          </cell>
          <cell r="K858">
            <v>502715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4424730</v>
          </cell>
        </row>
        <row r="859">
          <cell r="B859">
            <v>58</v>
          </cell>
          <cell r="C859" t="str">
            <v>LOUP</v>
          </cell>
          <cell r="D859" t="str">
            <v>CITY OR VILLAGE</v>
          </cell>
        </row>
        <row r="860">
          <cell r="B860">
            <v>58</v>
          </cell>
          <cell r="C860" t="str">
            <v>LOUP</v>
          </cell>
          <cell r="D860" t="str">
            <v>CITY OR VILLAGE</v>
          </cell>
        </row>
        <row r="861">
          <cell r="B861">
            <v>58</v>
          </cell>
          <cell r="C861" t="str">
            <v>LOUP</v>
          </cell>
          <cell r="D861" t="str">
            <v>CITY OR VILLAGE</v>
          </cell>
        </row>
        <row r="862">
          <cell r="B862">
            <v>58</v>
          </cell>
          <cell r="C862" t="str">
            <v>LOUP</v>
          </cell>
          <cell r="D862" t="str">
            <v>CITY OR VILLAGE</v>
          </cell>
        </row>
        <row r="863">
          <cell r="B863">
            <v>58</v>
          </cell>
          <cell r="C863" t="str">
            <v>LOUP</v>
          </cell>
          <cell r="D863" t="str">
            <v>CITY OR VILLAGE</v>
          </cell>
        </row>
        <row r="864">
          <cell r="B864">
            <v>58</v>
          </cell>
          <cell r="C864" t="str">
            <v>LOUP</v>
          </cell>
          <cell r="D864" t="str">
            <v>CITY OR VILLAGE</v>
          </cell>
        </row>
        <row r="865">
          <cell r="B865">
            <v>58</v>
          </cell>
          <cell r="C865" t="str">
            <v>LOUP</v>
          </cell>
          <cell r="D865" t="str">
            <v>CITY OR VILLAGE</v>
          </cell>
        </row>
        <row r="866">
          <cell r="B866">
            <v>58</v>
          </cell>
          <cell r="C866" t="str">
            <v>LOUP</v>
          </cell>
          <cell r="D866" t="str">
            <v>CITY OR VILLAGE</v>
          </cell>
        </row>
        <row r="867">
          <cell r="B867">
            <v>58</v>
          </cell>
          <cell r="C867" t="str">
            <v>LOUP</v>
          </cell>
          <cell r="D867" t="str">
            <v>CITY OR VILLAGE</v>
          </cell>
        </row>
        <row r="868">
          <cell r="B868">
            <v>58</v>
          </cell>
          <cell r="C868" t="str">
            <v>LOUP</v>
          </cell>
          <cell r="D868" t="str">
            <v>CITY OR VILLAGE</v>
          </cell>
        </row>
        <row r="869">
          <cell r="B869">
            <v>58</v>
          </cell>
          <cell r="C869" t="str">
            <v>LOUP</v>
          </cell>
          <cell r="D869" t="str">
            <v>CITY OR VILLAGE</v>
          </cell>
        </row>
        <row r="870">
          <cell r="B870">
            <v>58</v>
          </cell>
          <cell r="C870" t="str">
            <v>LOUP</v>
          </cell>
          <cell r="D870" t="str">
            <v>CITY OR VILLAGE</v>
          </cell>
        </row>
        <row r="871">
          <cell r="B871">
            <v>58</v>
          </cell>
          <cell r="C871" t="str">
            <v>LOUP</v>
          </cell>
          <cell r="D871" t="str">
            <v>CITY OR VILLAGE</v>
          </cell>
        </row>
        <row r="872">
          <cell r="B872">
            <v>58</v>
          </cell>
          <cell r="C872" t="str">
            <v>LOUP</v>
          </cell>
          <cell r="D872" t="str">
            <v>CITY OR VILLAGE</v>
          </cell>
        </row>
        <row r="873">
          <cell r="B873">
            <v>59</v>
          </cell>
          <cell r="C873" t="str">
            <v>MADISON</v>
          </cell>
          <cell r="D873" t="str">
            <v>CITY OR VILLAGE</v>
          </cell>
          <cell r="E873">
            <v>1207</v>
          </cell>
          <cell r="F873" t="str">
            <v>BATTLE CREEK</v>
          </cell>
          <cell r="G873">
            <v>725448</v>
          </cell>
          <cell r="H873">
            <v>468938</v>
          </cell>
          <cell r="I873">
            <v>56869</v>
          </cell>
          <cell r="J873">
            <v>61531703</v>
          </cell>
          <cell r="K873">
            <v>4432045</v>
          </cell>
          <cell r="L873">
            <v>0</v>
          </cell>
          <cell r="M873">
            <v>0</v>
          </cell>
          <cell r="N873">
            <v>82612</v>
          </cell>
          <cell r="O873">
            <v>0</v>
          </cell>
          <cell r="P873">
            <v>245</v>
          </cell>
          <cell r="Q873">
            <v>0</v>
          </cell>
          <cell r="R873">
            <v>67297860</v>
          </cell>
        </row>
        <row r="874">
          <cell r="B874">
            <v>59</v>
          </cell>
          <cell r="C874" t="str">
            <v>MADISON</v>
          </cell>
          <cell r="D874" t="str">
            <v>CITY OR VILLAGE</v>
          </cell>
          <cell r="E874">
            <v>2438</v>
          </cell>
          <cell r="F874" t="str">
            <v>MADISON</v>
          </cell>
          <cell r="G874">
            <v>1741390</v>
          </cell>
          <cell r="H874">
            <v>961907</v>
          </cell>
          <cell r="I874">
            <v>927408</v>
          </cell>
          <cell r="J874">
            <v>51920228</v>
          </cell>
          <cell r="K874">
            <v>9565062</v>
          </cell>
          <cell r="L874">
            <v>415650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65531645</v>
          </cell>
        </row>
        <row r="875">
          <cell r="B875">
            <v>59</v>
          </cell>
          <cell r="C875" t="str">
            <v>MADISON</v>
          </cell>
          <cell r="D875" t="str">
            <v>CITY OR VILLAGE</v>
          </cell>
          <cell r="E875">
            <v>301</v>
          </cell>
          <cell r="F875" t="str">
            <v>MEADOW GROVE</v>
          </cell>
          <cell r="G875">
            <v>77463</v>
          </cell>
          <cell r="H875">
            <v>189533</v>
          </cell>
          <cell r="I875">
            <v>16113</v>
          </cell>
          <cell r="J875">
            <v>7885071</v>
          </cell>
          <cell r="K875">
            <v>681540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8849720</v>
          </cell>
        </row>
        <row r="876">
          <cell r="B876">
            <v>59</v>
          </cell>
          <cell r="C876" t="str">
            <v>MADISON</v>
          </cell>
          <cell r="D876" t="str">
            <v>CITY OR VILLAGE</v>
          </cell>
          <cell r="E876">
            <v>721</v>
          </cell>
          <cell r="F876" t="str">
            <v>NEWMAN GROVE</v>
          </cell>
          <cell r="G876">
            <v>1247131</v>
          </cell>
          <cell r="H876">
            <v>285107</v>
          </cell>
          <cell r="I876">
            <v>33160</v>
          </cell>
          <cell r="J876">
            <v>18409140</v>
          </cell>
          <cell r="K876">
            <v>4920243</v>
          </cell>
          <cell r="L876">
            <v>92497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24987278</v>
          </cell>
        </row>
        <row r="877">
          <cell r="B877">
            <v>59</v>
          </cell>
          <cell r="C877" t="str">
            <v>MADISON</v>
          </cell>
          <cell r="D877" t="str">
            <v>CITY OR VILLAGE</v>
          </cell>
          <cell r="E877">
            <v>24210</v>
          </cell>
          <cell r="F877" t="str">
            <v>NORFOLK</v>
          </cell>
          <cell r="G877">
            <v>47848927</v>
          </cell>
          <cell r="H877">
            <v>13320725</v>
          </cell>
          <cell r="I877">
            <v>9618219</v>
          </cell>
          <cell r="J877">
            <v>1217047761</v>
          </cell>
          <cell r="K877">
            <v>529000531</v>
          </cell>
          <cell r="L877">
            <v>12030125</v>
          </cell>
          <cell r="M877">
            <v>145151</v>
          </cell>
          <cell r="N877">
            <v>272694</v>
          </cell>
          <cell r="O877">
            <v>0</v>
          </cell>
          <cell r="P877">
            <v>255724</v>
          </cell>
          <cell r="Q877">
            <v>0</v>
          </cell>
          <cell r="R877">
            <v>1829539857</v>
          </cell>
        </row>
        <row r="878">
          <cell r="B878">
            <v>59</v>
          </cell>
          <cell r="C878" t="str">
            <v>MADISON</v>
          </cell>
          <cell r="D878" t="str">
            <v>CITY OR VILLAGE</v>
          </cell>
          <cell r="E878">
            <v>953</v>
          </cell>
          <cell r="F878" t="str">
            <v>TILDEN</v>
          </cell>
          <cell r="G878">
            <v>396725</v>
          </cell>
          <cell r="H878">
            <v>242876</v>
          </cell>
          <cell r="I878">
            <v>29922</v>
          </cell>
          <cell r="J878">
            <v>23837615</v>
          </cell>
          <cell r="K878">
            <v>3137405</v>
          </cell>
          <cell r="L878">
            <v>0</v>
          </cell>
          <cell r="M878">
            <v>0</v>
          </cell>
          <cell r="N878">
            <v>241034</v>
          </cell>
          <cell r="O878">
            <v>0</v>
          </cell>
          <cell r="P878">
            <v>0</v>
          </cell>
          <cell r="Q878">
            <v>0</v>
          </cell>
          <cell r="R878">
            <v>27885577</v>
          </cell>
        </row>
        <row r="879">
          <cell r="B879">
            <v>59</v>
          </cell>
          <cell r="C879" t="str">
            <v>MADISON</v>
          </cell>
          <cell r="D879" t="str">
            <v>CITY OR VILLAGE</v>
          </cell>
        </row>
        <row r="880">
          <cell r="B880">
            <v>59</v>
          </cell>
          <cell r="C880" t="str">
            <v>MADISON</v>
          </cell>
          <cell r="D880" t="str">
            <v>CITY OR VILLAGE</v>
          </cell>
        </row>
        <row r="881">
          <cell r="B881">
            <v>59</v>
          </cell>
          <cell r="C881" t="str">
            <v>MADISON</v>
          </cell>
          <cell r="D881" t="str">
            <v>CITY OR VILLAGE</v>
          </cell>
        </row>
        <row r="882">
          <cell r="B882">
            <v>59</v>
          </cell>
          <cell r="C882" t="str">
            <v>MADISON</v>
          </cell>
          <cell r="D882" t="str">
            <v>CITY OR VILLAGE</v>
          </cell>
        </row>
        <row r="883">
          <cell r="B883">
            <v>59</v>
          </cell>
          <cell r="C883" t="str">
            <v>MADISON</v>
          </cell>
          <cell r="D883" t="str">
            <v>CITY OR VILLAGE</v>
          </cell>
        </row>
        <row r="884">
          <cell r="B884">
            <v>59</v>
          </cell>
          <cell r="C884" t="str">
            <v>MADISON</v>
          </cell>
          <cell r="D884" t="str">
            <v>CITY OR VILLAGE</v>
          </cell>
        </row>
        <row r="885">
          <cell r="B885">
            <v>59</v>
          </cell>
          <cell r="C885" t="str">
            <v>MADISON</v>
          </cell>
          <cell r="D885" t="str">
            <v>CITY OR VILLAGE</v>
          </cell>
        </row>
        <row r="886">
          <cell r="B886">
            <v>59</v>
          </cell>
          <cell r="C886" t="str">
            <v>MADISON</v>
          </cell>
          <cell r="D886" t="str">
            <v>CITY OR VILLAGE</v>
          </cell>
        </row>
        <row r="887">
          <cell r="B887">
            <v>59</v>
          </cell>
          <cell r="C887" t="str">
            <v>MADISON</v>
          </cell>
          <cell r="D887" t="str">
            <v>CITY OR VILLAGE</v>
          </cell>
        </row>
        <row r="888">
          <cell r="B888">
            <v>60</v>
          </cell>
          <cell r="C888" t="str">
            <v>MCPHERSON</v>
          </cell>
          <cell r="D888" t="str">
            <v>CITY OR VILLAGE</v>
          </cell>
          <cell r="E888" t="str">
            <v>Unicorp.</v>
          </cell>
          <cell r="F888" t="str">
            <v>Tryon County Seat</v>
          </cell>
        </row>
        <row r="889">
          <cell r="B889">
            <v>60</v>
          </cell>
          <cell r="C889" t="str">
            <v>MCPHERSON</v>
          </cell>
          <cell r="D889" t="str">
            <v>CITY OR VILLAGE</v>
          </cell>
        </row>
        <row r="890">
          <cell r="B890">
            <v>60</v>
          </cell>
          <cell r="C890" t="str">
            <v>MCPHERSON</v>
          </cell>
          <cell r="D890" t="str">
            <v>CITY OR VILLAGE</v>
          </cell>
        </row>
        <row r="891">
          <cell r="B891">
            <v>60</v>
          </cell>
          <cell r="C891" t="str">
            <v>MCPHERSON</v>
          </cell>
          <cell r="D891" t="str">
            <v>CITY OR VILLAGE</v>
          </cell>
        </row>
        <row r="892">
          <cell r="B892">
            <v>60</v>
          </cell>
          <cell r="C892" t="str">
            <v>MCPHERSON</v>
          </cell>
          <cell r="D892" t="str">
            <v>CITY OR VILLAGE</v>
          </cell>
        </row>
        <row r="893">
          <cell r="B893">
            <v>60</v>
          </cell>
          <cell r="C893" t="str">
            <v>MCPHERSON</v>
          </cell>
          <cell r="D893" t="str">
            <v>CITY OR VILLAGE</v>
          </cell>
        </row>
        <row r="894">
          <cell r="B894">
            <v>60</v>
          </cell>
          <cell r="C894" t="str">
            <v>MCPHERSON</v>
          </cell>
          <cell r="D894" t="str">
            <v>CITY OR VILLAGE</v>
          </cell>
        </row>
        <row r="895">
          <cell r="B895">
            <v>60</v>
          </cell>
          <cell r="C895" t="str">
            <v>MCPHERSON</v>
          </cell>
          <cell r="D895" t="str">
            <v>CITY OR VILLAGE</v>
          </cell>
        </row>
        <row r="896">
          <cell r="B896">
            <v>60</v>
          </cell>
          <cell r="C896" t="str">
            <v>MCPHERSON</v>
          </cell>
          <cell r="D896" t="str">
            <v>CITY OR VILLAGE</v>
          </cell>
        </row>
        <row r="897">
          <cell r="B897">
            <v>60</v>
          </cell>
          <cell r="C897" t="str">
            <v>MCPHERSON</v>
          </cell>
          <cell r="D897" t="str">
            <v>CITY OR VILLAGE</v>
          </cell>
        </row>
        <row r="898">
          <cell r="B898">
            <v>60</v>
          </cell>
          <cell r="C898" t="str">
            <v>MCPHERSON</v>
          </cell>
          <cell r="D898" t="str">
            <v>CITY OR VILLAGE</v>
          </cell>
        </row>
        <row r="899">
          <cell r="B899">
            <v>60</v>
          </cell>
          <cell r="C899" t="str">
            <v>MCPHERSON</v>
          </cell>
          <cell r="D899" t="str">
            <v>CITY OR VILLAGE</v>
          </cell>
        </row>
        <row r="900">
          <cell r="B900">
            <v>60</v>
          </cell>
          <cell r="C900" t="str">
            <v>MCPHERSON</v>
          </cell>
          <cell r="D900" t="str">
            <v>CITY OR VILLAGE</v>
          </cell>
        </row>
        <row r="901">
          <cell r="B901">
            <v>60</v>
          </cell>
          <cell r="C901" t="str">
            <v>MCPHERSON</v>
          </cell>
          <cell r="D901" t="str">
            <v>CITY OR VILLAGE</v>
          </cell>
        </row>
        <row r="902">
          <cell r="B902">
            <v>60</v>
          </cell>
          <cell r="C902" t="str">
            <v>MCPHERSON</v>
          </cell>
          <cell r="D902" t="str">
            <v>CITY OR VILLAGE</v>
          </cell>
        </row>
        <row r="903">
          <cell r="B903">
            <v>61</v>
          </cell>
          <cell r="C903" t="str">
            <v>MERRICK</v>
          </cell>
          <cell r="D903" t="str">
            <v>CITY OR VILLAGE</v>
          </cell>
          <cell r="E903">
            <v>2934</v>
          </cell>
          <cell r="F903" t="str">
            <v>CENTRAL CITY</v>
          </cell>
          <cell r="G903">
            <v>10106753</v>
          </cell>
          <cell r="H903">
            <v>1885478</v>
          </cell>
          <cell r="I903">
            <v>7316735</v>
          </cell>
          <cell r="J903">
            <v>119569970</v>
          </cell>
          <cell r="K903">
            <v>32583971</v>
          </cell>
          <cell r="L903">
            <v>34105020</v>
          </cell>
          <cell r="M903">
            <v>0</v>
          </cell>
          <cell r="N903">
            <v>336925</v>
          </cell>
          <cell r="O903">
            <v>0</v>
          </cell>
          <cell r="P903">
            <v>20890</v>
          </cell>
          <cell r="Q903">
            <v>0</v>
          </cell>
          <cell r="R903">
            <v>205925742</v>
          </cell>
        </row>
        <row r="904">
          <cell r="B904">
            <v>61</v>
          </cell>
          <cell r="C904" t="str">
            <v>MERRICK</v>
          </cell>
          <cell r="D904" t="str">
            <v>CITY OR VILLAGE</v>
          </cell>
          <cell r="E904">
            <v>287</v>
          </cell>
          <cell r="F904" t="str">
            <v>CHAPMAN</v>
          </cell>
          <cell r="G904">
            <v>738303</v>
          </cell>
          <cell r="H904">
            <v>1319162</v>
          </cell>
          <cell r="I904">
            <v>3076371</v>
          </cell>
          <cell r="J904">
            <v>8012700</v>
          </cell>
          <cell r="K904">
            <v>3323825</v>
          </cell>
          <cell r="L904">
            <v>0</v>
          </cell>
          <cell r="M904">
            <v>0</v>
          </cell>
          <cell r="N904">
            <v>134995</v>
          </cell>
          <cell r="O904">
            <v>0</v>
          </cell>
          <cell r="P904">
            <v>0</v>
          </cell>
          <cell r="Q904">
            <v>0</v>
          </cell>
          <cell r="R904">
            <v>16605356</v>
          </cell>
        </row>
        <row r="905">
          <cell r="B905">
            <v>61</v>
          </cell>
          <cell r="C905" t="str">
            <v>MERRICK</v>
          </cell>
          <cell r="D905" t="str">
            <v>CITY OR VILLAGE</v>
          </cell>
          <cell r="E905">
            <v>369</v>
          </cell>
          <cell r="F905" t="str">
            <v>CLARKS</v>
          </cell>
          <cell r="G905">
            <v>1129141</v>
          </cell>
          <cell r="H905">
            <v>350755</v>
          </cell>
          <cell r="I905">
            <v>1335793</v>
          </cell>
          <cell r="J905">
            <v>8917980</v>
          </cell>
          <cell r="K905">
            <v>3973690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15707359</v>
          </cell>
        </row>
        <row r="906">
          <cell r="B906">
            <v>61</v>
          </cell>
          <cell r="C906" t="str">
            <v>MERRICK</v>
          </cell>
          <cell r="D906" t="str">
            <v>CITY OR VILLAGE</v>
          </cell>
          <cell r="E906">
            <v>472</v>
          </cell>
          <cell r="F906" t="str">
            <v>PALMER</v>
          </cell>
          <cell r="G906">
            <v>459900</v>
          </cell>
          <cell r="H906">
            <v>174173</v>
          </cell>
          <cell r="I906">
            <v>70162</v>
          </cell>
          <cell r="J906">
            <v>14619155</v>
          </cell>
          <cell r="K906">
            <v>4602840</v>
          </cell>
          <cell r="L906">
            <v>0</v>
          </cell>
          <cell r="M906">
            <v>0</v>
          </cell>
          <cell r="N906">
            <v>14445</v>
          </cell>
          <cell r="O906">
            <v>0</v>
          </cell>
          <cell r="P906">
            <v>5540</v>
          </cell>
          <cell r="Q906">
            <v>0</v>
          </cell>
          <cell r="R906">
            <v>19946215</v>
          </cell>
        </row>
        <row r="907">
          <cell r="B907">
            <v>61</v>
          </cell>
          <cell r="C907" t="str">
            <v>MERRICK</v>
          </cell>
          <cell r="D907" t="str">
            <v>CITY OR VILLAGE</v>
          </cell>
          <cell r="E907">
            <v>362</v>
          </cell>
          <cell r="F907" t="str">
            <v>SILVER CREEK</v>
          </cell>
          <cell r="G907">
            <v>246795</v>
          </cell>
          <cell r="H907">
            <v>358261</v>
          </cell>
          <cell r="I907">
            <v>1889984</v>
          </cell>
          <cell r="J907">
            <v>9679910</v>
          </cell>
          <cell r="K907">
            <v>2443631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14618581</v>
          </cell>
        </row>
        <row r="908">
          <cell r="B908">
            <v>61</v>
          </cell>
          <cell r="C908" t="str">
            <v>MERRICK</v>
          </cell>
          <cell r="D908" t="str">
            <v>CITY OR VILLAGE</v>
          </cell>
        </row>
        <row r="909">
          <cell r="B909">
            <v>61</v>
          </cell>
          <cell r="C909" t="str">
            <v>MERRICK</v>
          </cell>
          <cell r="D909" t="str">
            <v>CITY OR VILLAGE</v>
          </cell>
        </row>
        <row r="910">
          <cell r="B910">
            <v>61</v>
          </cell>
          <cell r="C910" t="str">
            <v>MERRICK</v>
          </cell>
          <cell r="D910" t="str">
            <v>CITY OR VILLAGE</v>
          </cell>
        </row>
        <row r="911">
          <cell r="B911">
            <v>61</v>
          </cell>
          <cell r="C911" t="str">
            <v>MERRICK</v>
          </cell>
          <cell r="D911" t="str">
            <v>CITY OR VILLAGE</v>
          </cell>
        </row>
        <row r="912">
          <cell r="B912">
            <v>61</v>
          </cell>
          <cell r="C912" t="str">
            <v>MERRICK</v>
          </cell>
          <cell r="D912" t="str">
            <v>CITY OR VILLAGE</v>
          </cell>
        </row>
        <row r="913">
          <cell r="B913">
            <v>61</v>
          </cell>
          <cell r="C913" t="str">
            <v>MERRICK</v>
          </cell>
          <cell r="D913" t="str">
            <v>CITY OR VILLAGE</v>
          </cell>
        </row>
        <row r="914">
          <cell r="B914">
            <v>61</v>
          </cell>
          <cell r="C914" t="str">
            <v>MERRICK</v>
          </cell>
          <cell r="D914" t="str">
            <v>CITY OR VILLAGE</v>
          </cell>
        </row>
        <row r="915">
          <cell r="B915">
            <v>61</v>
          </cell>
          <cell r="C915" t="str">
            <v>MERRICK</v>
          </cell>
          <cell r="D915" t="str">
            <v>CITY OR VILLAGE</v>
          </cell>
        </row>
        <row r="916">
          <cell r="B916">
            <v>61</v>
          </cell>
          <cell r="C916" t="str">
            <v>MERRICK</v>
          </cell>
          <cell r="D916" t="str">
            <v>CITY OR VILLAGE</v>
          </cell>
        </row>
        <row r="917">
          <cell r="B917">
            <v>61</v>
          </cell>
          <cell r="C917" t="str">
            <v>MERRICK</v>
          </cell>
          <cell r="D917" t="str">
            <v>CITY OR VILLAGE</v>
          </cell>
        </row>
        <row r="918">
          <cell r="B918">
            <v>62</v>
          </cell>
          <cell r="C918" t="str">
            <v>MORRILL</v>
          </cell>
          <cell r="D918" t="str">
            <v>CITY OR VILLAGE</v>
          </cell>
          <cell r="E918">
            <v>1209</v>
          </cell>
          <cell r="F918" t="str">
            <v>BAYARD</v>
          </cell>
          <cell r="G918">
            <v>924793</v>
          </cell>
          <cell r="H918">
            <v>1237827</v>
          </cell>
          <cell r="I918">
            <v>2143268</v>
          </cell>
          <cell r="J918">
            <v>26915810</v>
          </cell>
          <cell r="K918">
            <v>3902490</v>
          </cell>
          <cell r="L918">
            <v>308300</v>
          </cell>
          <cell r="M918">
            <v>0</v>
          </cell>
          <cell r="N918">
            <v>15810</v>
          </cell>
          <cell r="O918">
            <v>0</v>
          </cell>
          <cell r="P918">
            <v>0</v>
          </cell>
          <cell r="Q918">
            <v>0</v>
          </cell>
          <cell r="R918">
            <v>35448298</v>
          </cell>
        </row>
        <row r="919">
          <cell r="B919">
            <v>62</v>
          </cell>
          <cell r="C919" t="str">
            <v>MORRILL</v>
          </cell>
          <cell r="D919" t="str">
            <v>CITY OR VILLAGE</v>
          </cell>
          <cell r="E919">
            <v>1545</v>
          </cell>
          <cell r="F919" t="str">
            <v>BRIDGEPORT</v>
          </cell>
          <cell r="G919">
            <v>11675502</v>
          </cell>
          <cell r="H919">
            <v>2589550</v>
          </cell>
          <cell r="I919">
            <v>4152035</v>
          </cell>
          <cell r="J919">
            <v>49656895</v>
          </cell>
          <cell r="K919">
            <v>17754945</v>
          </cell>
          <cell r="L919">
            <v>5733900</v>
          </cell>
          <cell r="M919">
            <v>0</v>
          </cell>
          <cell r="N919">
            <v>50135</v>
          </cell>
          <cell r="O919">
            <v>0</v>
          </cell>
          <cell r="P919">
            <v>3375</v>
          </cell>
          <cell r="Q919">
            <v>0</v>
          </cell>
          <cell r="R919">
            <v>91616337</v>
          </cell>
        </row>
        <row r="920">
          <cell r="B920">
            <v>62</v>
          </cell>
          <cell r="C920" t="str">
            <v>MORRILL</v>
          </cell>
          <cell r="D920" t="str">
            <v>CITY OR VILLAGE</v>
          </cell>
          <cell r="E920">
            <v>128</v>
          </cell>
          <cell r="F920" t="str">
            <v>BROADWATER</v>
          </cell>
          <cell r="G920">
            <v>169392</v>
          </cell>
          <cell r="H920">
            <v>306120</v>
          </cell>
          <cell r="I920">
            <v>1046801</v>
          </cell>
          <cell r="J920">
            <v>2031040</v>
          </cell>
          <cell r="K920">
            <v>417950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3971303</v>
          </cell>
        </row>
        <row r="921">
          <cell r="B921">
            <v>62</v>
          </cell>
          <cell r="C921" t="str">
            <v>MORRILL</v>
          </cell>
          <cell r="D921" t="str">
            <v>CITY OR VILLAGE</v>
          </cell>
        </row>
        <row r="922">
          <cell r="B922">
            <v>62</v>
          </cell>
          <cell r="C922" t="str">
            <v>MORRILL</v>
          </cell>
          <cell r="D922" t="str">
            <v>CITY OR VILLAGE</v>
          </cell>
        </row>
        <row r="923">
          <cell r="B923">
            <v>62</v>
          </cell>
          <cell r="C923" t="str">
            <v>MORRILL</v>
          </cell>
          <cell r="D923" t="str">
            <v>CITY OR VILLAGE</v>
          </cell>
        </row>
        <row r="924">
          <cell r="B924">
            <v>62</v>
          </cell>
          <cell r="C924" t="str">
            <v>MORRILL</v>
          </cell>
          <cell r="D924" t="str">
            <v>CITY OR VILLAGE</v>
          </cell>
        </row>
        <row r="925">
          <cell r="B925">
            <v>62</v>
          </cell>
          <cell r="C925" t="str">
            <v>MORRILL</v>
          </cell>
          <cell r="D925" t="str">
            <v>CITY OR VILLAGE</v>
          </cell>
        </row>
        <row r="926">
          <cell r="B926">
            <v>62</v>
          </cell>
          <cell r="C926" t="str">
            <v>MORRILL</v>
          </cell>
          <cell r="D926" t="str">
            <v>CITY OR VILLAGE</v>
          </cell>
        </row>
        <row r="927">
          <cell r="B927">
            <v>62</v>
          </cell>
          <cell r="C927" t="str">
            <v>MORRILL</v>
          </cell>
          <cell r="D927" t="str">
            <v>CITY OR VILLAGE</v>
          </cell>
        </row>
        <row r="928">
          <cell r="B928">
            <v>62</v>
          </cell>
          <cell r="C928" t="str">
            <v>MORRILL</v>
          </cell>
          <cell r="D928" t="str">
            <v>CITY OR VILLAGE</v>
          </cell>
        </row>
        <row r="929">
          <cell r="B929">
            <v>62</v>
          </cell>
          <cell r="C929" t="str">
            <v>MORRILL</v>
          </cell>
          <cell r="D929" t="str">
            <v>CITY OR VILLAGE</v>
          </cell>
        </row>
        <row r="930">
          <cell r="B930">
            <v>62</v>
          </cell>
          <cell r="C930" t="str">
            <v>MORRILL</v>
          </cell>
          <cell r="D930" t="str">
            <v>CITY OR VILLAGE</v>
          </cell>
        </row>
        <row r="931">
          <cell r="B931">
            <v>62</v>
          </cell>
          <cell r="C931" t="str">
            <v>MORRILL</v>
          </cell>
          <cell r="D931" t="str">
            <v>CITY OR VILLAGE</v>
          </cell>
        </row>
        <row r="932">
          <cell r="B932">
            <v>62</v>
          </cell>
          <cell r="C932" t="str">
            <v>MORRILL</v>
          </cell>
          <cell r="D932" t="str">
            <v>CITY OR VILLAGE</v>
          </cell>
        </row>
        <row r="933">
          <cell r="B933">
            <v>63</v>
          </cell>
          <cell r="C933" t="str">
            <v>NANCE</v>
          </cell>
          <cell r="D933" t="str">
            <v>CITY OR VILLAGE</v>
          </cell>
          <cell r="E933">
            <v>126</v>
          </cell>
          <cell r="F933" t="str">
            <v>BELGRADE</v>
          </cell>
          <cell r="G933">
            <v>136250</v>
          </cell>
          <cell r="H933">
            <v>71288</v>
          </cell>
          <cell r="I933">
            <v>11874</v>
          </cell>
          <cell r="J933">
            <v>2204650</v>
          </cell>
          <cell r="K933">
            <v>313065</v>
          </cell>
          <cell r="L933">
            <v>0</v>
          </cell>
          <cell r="M933">
            <v>0</v>
          </cell>
          <cell r="N933">
            <v>4015</v>
          </cell>
          <cell r="O933">
            <v>0</v>
          </cell>
          <cell r="P933">
            <v>26310</v>
          </cell>
          <cell r="Q933">
            <v>0</v>
          </cell>
          <cell r="R933">
            <v>2767452</v>
          </cell>
        </row>
        <row r="934">
          <cell r="B934">
            <v>63</v>
          </cell>
          <cell r="C934" t="str">
            <v>NANCE</v>
          </cell>
          <cell r="D934" t="str">
            <v>CITY OR VILLAGE</v>
          </cell>
          <cell r="E934">
            <v>1307</v>
          </cell>
          <cell r="F934" t="str">
            <v>FULLERTON</v>
          </cell>
          <cell r="G934">
            <v>3941696</v>
          </cell>
          <cell r="H934">
            <v>757785</v>
          </cell>
          <cell r="I934">
            <v>690959</v>
          </cell>
          <cell r="J934">
            <v>41787435</v>
          </cell>
          <cell r="K934">
            <v>11647355</v>
          </cell>
          <cell r="L934">
            <v>51630</v>
          </cell>
          <cell r="M934">
            <v>0</v>
          </cell>
          <cell r="N934">
            <v>223145</v>
          </cell>
          <cell r="O934">
            <v>149435</v>
          </cell>
          <cell r="P934">
            <v>1085</v>
          </cell>
          <cell r="Q934">
            <v>0</v>
          </cell>
          <cell r="R934">
            <v>59250525</v>
          </cell>
        </row>
        <row r="935">
          <cell r="B935">
            <v>63</v>
          </cell>
          <cell r="C935" t="str">
            <v>NANCE</v>
          </cell>
          <cell r="D935" t="str">
            <v>CITY OR VILLAGE</v>
          </cell>
          <cell r="E935">
            <v>1003</v>
          </cell>
          <cell r="F935" t="str">
            <v>GENOA</v>
          </cell>
          <cell r="G935">
            <v>880728</v>
          </cell>
          <cell r="H935">
            <v>591733</v>
          </cell>
          <cell r="I935">
            <v>1659364</v>
          </cell>
          <cell r="J935">
            <v>30316680</v>
          </cell>
          <cell r="K935">
            <v>3372080</v>
          </cell>
          <cell r="L935">
            <v>0</v>
          </cell>
          <cell r="M935">
            <v>0</v>
          </cell>
          <cell r="N935">
            <v>198740</v>
          </cell>
          <cell r="O935">
            <v>0</v>
          </cell>
          <cell r="P935">
            <v>52770</v>
          </cell>
          <cell r="Q935">
            <v>0</v>
          </cell>
          <cell r="R935">
            <v>37072095</v>
          </cell>
        </row>
        <row r="936">
          <cell r="B936">
            <v>63</v>
          </cell>
          <cell r="C936" t="str">
            <v>NANCE</v>
          </cell>
          <cell r="D936" t="str">
            <v>CITY OR VILLAGE</v>
          </cell>
        </row>
        <row r="937">
          <cell r="B937">
            <v>63</v>
          </cell>
          <cell r="C937" t="str">
            <v>NANCE</v>
          </cell>
          <cell r="D937" t="str">
            <v>CITY OR VILLAGE</v>
          </cell>
        </row>
        <row r="938">
          <cell r="B938">
            <v>63</v>
          </cell>
          <cell r="C938" t="str">
            <v>NANCE</v>
          </cell>
          <cell r="D938" t="str">
            <v>CITY OR VILLAGE</v>
          </cell>
        </row>
        <row r="939">
          <cell r="B939">
            <v>63</v>
          </cell>
          <cell r="C939" t="str">
            <v>NANCE</v>
          </cell>
          <cell r="D939" t="str">
            <v>CITY OR VILLAGE</v>
          </cell>
        </row>
        <row r="940">
          <cell r="B940">
            <v>63</v>
          </cell>
          <cell r="C940" t="str">
            <v>NANCE</v>
          </cell>
          <cell r="D940" t="str">
            <v>CITY OR VILLAGE</v>
          </cell>
        </row>
        <row r="941">
          <cell r="B941">
            <v>63</v>
          </cell>
          <cell r="C941" t="str">
            <v>NANCE</v>
          </cell>
          <cell r="D941" t="str">
            <v>CITY OR VILLAGE</v>
          </cell>
        </row>
        <row r="942">
          <cell r="B942">
            <v>63</v>
          </cell>
          <cell r="C942" t="str">
            <v>NANCE</v>
          </cell>
          <cell r="D942" t="str">
            <v>CITY OR VILLAGE</v>
          </cell>
        </row>
        <row r="943">
          <cell r="B943">
            <v>63</v>
          </cell>
          <cell r="C943" t="str">
            <v>NANCE</v>
          </cell>
          <cell r="D943" t="str">
            <v>CITY OR VILLAGE</v>
          </cell>
        </row>
        <row r="944">
          <cell r="B944">
            <v>63</v>
          </cell>
          <cell r="C944" t="str">
            <v>NANCE</v>
          </cell>
          <cell r="D944" t="str">
            <v>CITY OR VILLAGE</v>
          </cell>
        </row>
        <row r="945">
          <cell r="B945">
            <v>63</v>
          </cell>
          <cell r="C945" t="str">
            <v>NANCE</v>
          </cell>
          <cell r="D945" t="str">
            <v>CITY OR VILLAGE</v>
          </cell>
        </row>
        <row r="946">
          <cell r="B946">
            <v>63</v>
          </cell>
          <cell r="C946" t="str">
            <v>NANCE</v>
          </cell>
          <cell r="D946" t="str">
            <v>CITY OR VILLAGE</v>
          </cell>
        </row>
        <row r="947">
          <cell r="B947">
            <v>63</v>
          </cell>
          <cell r="C947" t="str">
            <v>NANCE</v>
          </cell>
          <cell r="D947" t="str">
            <v>CITY OR VILLAGE</v>
          </cell>
        </row>
        <row r="948">
          <cell r="B948">
            <v>64</v>
          </cell>
          <cell r="C948" t="str">
            <v>NEMAHA</v>
          </cell>
          <cell r="D948" t="str">
            <v>CITY OR VILLAGE</v>
          </cell>
          <cell r="E948">
            <v>3460</v>
          </cell>
          <cell r="F948" t="str">
            <v>AUBURN</v>
          </cell>
          <cell r="G948">
            <v>7379020</v>
          </cell>
          <cell r="H948">
            <v>1894539</v>
          </cell>
          <cell r="I948">
            <v>773576</v>
          </cell>
          <cell r="J948">
            <v>120699621</v>
          </cell>
          <cell r="K948">
            <v>25624926</v>
          </cell>
          <cell r="L948">
            <v>1932707</v>
          </cell>
          <cell r="M948">
            <v>0</v>
          </cell>
          <cell r="N948">
            <v>95774</v>
          </cell>
          <cell r="O948">
            <v>0</v>
          </cell>
          <cell r="P948">
            <v>0</v>
          </cell>
          <cell r="Q948">
            <v>0</v>
          </cell>
          <cell r="R948">
            <v>158400163</v>
          </cell>
        </row>
        <row r="949">
          <cell r="B949">
            <v>64</v>
          </cell>
          <cell r="C949" t="str">
            <v>NEMAHA</v>
          </cell>
          <cell r="D949" t="str">
            <v>CITY OR VILLAGE</v>
          </cell>
          <cell r="E949">
            <v>112</v>
          </cell>
          <cell r="F949" t="str">
            <v>BROCK</v>
          </cell>
          <cell r="G949">
            <v>259909</v>
          </cell>
          <cell r="H949">
            <v>75884</v>
          </cell>
          <cell r="I949">
            <v>3586</v>
          </cell>
          <cell r="J949">
            <v>2028033</v>
          </cell>
          <cell r="K949">
            <v>1266253</v>
          </cell>
          <cell r="L949">
            <v>0</v>
          </cell>
          <cell r="M949">
            <v>0</v>
          </cell>
          <cell r="N949">
            <v>160923</v>
          </cell>
          <cell r="O949">
            <v>900</v>
          </cell>
          <cell r="P949">
            <v>0</v>
          </cell>
          <cell r="Q949">
            <v>0</v>
          </cell>
          <cell r="R949">
            <v>3795488</v>
          </cell>
        </row>
        <row r="950">
          <cell r="B950">
            <v>64</v>
          </cell>
          <cell r="C950" t="str">
            <v>NEMAHA</v>
          </cell>
          <cell r="D950" t="str">
            <v>CITY OR VILLAGE</v>
          </cell>
          <cell r="E950">
            <v>132</v>
          </cell>
          <cell r="F950" t="str">
            <v>BROWNVILLE</v>
          </cell>
          <cell r="G950">
            <v>84802</v>
          </cell>
          <cell r="H950">
            <v>91301</v>
          </cell>
          <cell r="I950">
            <v>6392</v>
          </cell>
          <cell r="J950">
            <v>6711901</v>
          </cell>
          <cell r="K950">
            <v>826370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7720766</v>
          </cell>
        </row>
        <row r="951">
          <cell r="B951">
            <v>64</v>
          </cell>
          <cell r="C951" t="str">
            <v>NEMAHA</v>
          </cell>
          <cell r="D951" t="str">
            <v>CITY OR VILLAGE</v>
          </cell>
          <cell r="E951">
            <v>328</v>
          </cell>
          <cell r="F951" t="str">
            <v>JOHNSON</v>
          </cell>
          <cell r="G951">
            <v>314134</v>
          </cell>
          <cell r="H951">
            <v>224042</v>
          </cell>
          <cell r="I951">
            <v>22249</v>
          </cell>
          <cell r="J951">
            <v>14265010</v>
          </cell>
          <cell r="K951">
            <v>1388091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16213526</v>
          </cell>
        </row>
        <row r="952">
          <cell r="B952">
            <v>64</v>
          </cell>
          <cell r="C952" t="str">
            <v>NEMAHA</v>
          </cell>
          <cell r="D952" t="str">
            <v>CITY OR VILLAGE</v>
          </cell>
          <cell r="E952">
            <v>59</v>
          </cell>
          <cell r="F952" t="str">
            <v>JULIAN</v>
          </cell>
          <cell r="G952">
            <v>509</v>
          </cell>
          <cell r="H952">
            <v>109794</v>
          </cell>
          <cell r="I952">
            <v>481136</v>
          </cell>
          <cell r="J952">
            <v>1113331</v>
          </cell>
          <cell r="K952">
            <v>33339</v>
          </cell>
          <cell r="L952">
            <v>0</v>
          </cell>
          <cell r="M952">
            <v>0</v>
          </cell>
          <cell r="N952">
            <v>25257</v>
          </cell>
          <cell r="O952">
            <v>0</v>
          </cell>
          <cell r="P952">
            <v>0</v>
          </cell>
          <cell r="Q952">
            <v>0</v>
          </cell>
          <cell r="R952">
            <v>1763366</v>
          </cell>
        </row>
        <row r="953">
          <cell r="B953">
            <v>64</v>
          </cell>
          <cell r="C953" t="str">
            <v>NEMAHA</v>
          </cell>
          <cell r="D953" t="str">
            <v>CITY OR VILLAGE</v>
          </cell>
          <cell r="E953">
            <v>149</v>
          </cell>
          <cell r="F953" t="str">
            <v>NEMAHA</v>
          </cell>
          <cell r="G953">
            <v>251286</v>
          </cell>
          <cell r="H953">
            <v>62479</v>
          </cell>
          <cell r="I953">
            <v>2952</v>
          </cell>
          <cell r="J953">
            <v>2718863</v>
          </cell>
          <cell r="K953">
            <v>684310</v>
          </cell>
          <cell r="L953">
            <v>0</v>
          </cell>
          <cell r="M953">
            <v>0</v>
          </cell>
          <cell r="N953">
            <v>241755</v>
          </cell>
          <cell r="O953">
            <v>0</v>
          </cell>
          <cell r="P953">
            <v>0</v>
          </cell>
          <cell r="Q953">
            <v>0</v>
          </cell>
          <cell r="R953">
            <v>3961645</v>
          </cell>
        </row>
        <row r="954">
          <cell r="B954">
            <v>64</v>
          </cell>
          <cell r="C954" t="str">
            <v>NEMAHA</v>
          </cell>
          <cell r="D954" t="str">
            <v>CITY OR VILLAGE</v>
          </cell>
          <cell r="E954">
            <v>865</v>
          </cell>
          <cell r="F954" t="str">
            <v>PERU</v>
          </cell>
          <cell r="G954">
            <v>206231</v>
          </cell>
          <cell r="H954">
            <v>354769</v>
          </cell>
          <cell r="I954">
            <v>33583</v>
          </cell>
          <cell r="J954">
            <v>8882980</v>
          </cell>
          <cell r="K954">
            <v>790583</v>
          </cell>
          <cell r="L954">
            <v>0</v>
          </cell>
          <cell r="M954">
            <v>0</v>
          </cell>
          <cell r="N954">
            <v>15711</v>
          </cell>
          <cell r="O954">
            <v>0</v>
          </cell>
          <cell r="P954">
            <v>0</v>
          </cell>
          <cell r="Q954">
            <v>0</v>
          </cell>
          <cell r="R954">
            <v>10283857</v>
          </cell>
        </row>
        <row r="955">
          <cell r="B955">
            <v>64</v>
          </cell>
          <cell r="C955" t="str">
            <v>NEMAHA</v>
          </cell>
          <cell r="D955" t="str">
            <v>CITY OR VILLAGE</v>
          </cell>
        </row>
        <row r="956">
          <cell r="B956">
            <v>64</v>
          </cell>
          <cell r="C956" t="str">
            <v>NEMAHA</v>
          </cell>
          <cell r="D956" t="str">
            <v>CITY OR VILLAGE</v>
          </cell>
        </row>
        <row r="957">
          <cell r="B957">
            <v>64</v>
          </cell>
          <cell r="C957" t="str">
            <v>NEMAHA</v>
          </cell>
          <cell r="D957" t="str">
            <v>CITY OR VILLAGE</v>
          </cell>
        </row>
        <row r="958">
          <cell r="B958">
            <v>64</v>
          </cell>
          <cell r="C958" t="str">
            <v>NEMAHA</v>
          </cell>
          <cell r="D958" t="str">
            <v>CITY OR VILLAGE</v>
          </cell>
        </row>
        <row r="959">
          <cell r="B959">
            <v>64</v>
          </cell>
          <cell r="C959" t="str">
            <v>NEMAHA</v>
          </cell>
          <cell r="D959" t="str">
            <v>CITY OR VILLAGE</v>
          </cell>
        </row>
        <row r="960">
          <cell r="B960">
            <v>64</v>
          </cell>
          <cell r="C960" t="str">
            <v>NEMAHA</v>
          </cell>
          <cell r="D960" t="str">
            <v>CITY OR VILLAGE</v>
          </cell>
        </row>
        <row r="961">
          <cell r="B961">
            <v>64</v>
          </cell>
          <cell r="C961" t="str">
            <v>NEMAHA</v>
          </cell>
          <cell r="D961" t="str">
            <v>CITY OR VILLAGE</v>
          </cell>
        </row>
        <row r="962">
          <cell r="B962">
            <v>64</v>
          </cell>
          <cell r="C962" t="str">
            <v>NEMAHA</v>
          </cell>
          <cell r="D962" t="str">
            <v>CITY OR VILLAGE</v>
          </cell>
        </row>
        <row r="963">
          <cell r="B963">
            <v>65</v>
          </cell>
          <cell r="C963" t="str">
            <v>NUCKOLLS</v>
          </cell>
          <cell r="D963" t="str">
            <v>CITY OR VILLAGE</v>
          </cell>
          <cell r="E963">
            <v>159</v>
          </cell>
          <cell r="F963" t="str">
            <v>HARDY</v>
          </cell>
          <cell r="G963">
            <v>909106</v>
          </cell>
          <cell r="H963">
            <v>53338</v>
          </cell>
          <cell r="I963">
            <v>2520</v>
          </cell>
          <cell r="J963">
            <v>1370100</v>
          </cell>
          <cell r="K963">
            <v>2005900</v>
          </cell>
          <cell r="L963">
            <v>3320</v>
          </cell>
          <cell r="M963">
            <v>0</v>
          </cell>
          <cell r="N963">
            <v>195860</v>
          </cell>
          <cell r="O963">
            <v>0</v>
          </cell>
          <cell r="P963">
            <v>0</v>
          </cell>
          <cell r="Q963">
            <v>0</v>
          </cell>
          <cell r="R963">
            <v>4540144</v>
          </cell>
        </row>
        <row r="964">
          <cell r="B964">
            <v>65</v>
          </cell>
          <cell r="C964" t="str">
            <v>NUCKOLLS</v>
          </cell>
          <cell r="D964" t="str">
            <v>CITY OR VILLAGE</v>
          </cell>
          <cell r="E964">
            <v>304</v>
          </cell>
          <cell r="F964" t="str">
            <v>LAWRENCE</v>
          </cell>
          <cell r="G964">
            <v>280330</v>
          </cell>
          <cell r="H964">
            <v>137126</v>
          </cell>
          <cell r="I964">
            <v>16585</v>
          </cell>
          <cell r="J964">
            <v>7094920</v>
          </cell>
          <cell r="K964">
            <v>967670</v>
          </cell>
          <cell r="L964">
            <v>0</v>
          </cell>
          <cell r="M964">
            <v>0</v>
          </cell>
          <cell r="N964">
            <v>119145</v>
          </cell>
          <cell r="O964">
            <v>0</v>
          </cell>
          <cell r="P964">
            <v>12080</v>
          </cell>
          <cell r="Q964">
            <v>0</v>
          </cell>
          <cell r="R964">
            <v>8627856</v>
          </cell>
        </row>
        <row r="965">
          <cell r="B965">
            <v>65</v>
          </cell>
          <cell r="C965" t="str">
            <v>NUCKOLLS</v>
          </cell>
          <cell r="D965" t="str">
            <v>CITY OR VILLAGE</v>
          </cell>
          <cell r="E965">
            <v>488</v>
          </cell>
          <cell r="F965" t="str">
            <v>NELSON</v>
          </cell>
          <cell r="G965">
            <v>345965</v>
          </cell>
          <cell r="H965">
            <v>548521</v>
          </cell>
          <cell r="I965">
            <v>52950</v>
          </cell>
          <cell r="J965">
            <v>9667180</v>
          </cell>
          <cell r="K965">
            <v>1678745</v>
          </cell>
          <cell r="L965">
            <v>0</v>
          </cell>
          <cell r="M965">
            <v>0</v>
          </cell>
          <cell r="N965">
            <v>176825</v>
          </cell>
          <cell r="O965">
            <v>0</v>
          </cell>
          <cell r="P965">
            <v>15910</v>
          </cell>
          <cell r="Q965">
            <v>0</v>
          </cell>
          <cell r="R965">
            <v>12486096</v>
          </cell>
        </row>
        <row r="966">
          <cell r="B966">
            <v>65</v>
          </cell>
          <cell r="C966" t="str">
            <v>NUCKOLLS</v>
          </cell>
          <cell r="D966" t="str">
            <v>CITY OR VILLAGE</v>
          </cell>
          <cell r="E966">
            <v>21</v>
          </cell>
          <cell r="F966" t="str">
            <v>NORA</v>
          </cell>
          <cell r="G966">
            <v>8676</v>
          </cell>
          <cell r="H966">
            <v>2037</v>
          </cell>
          <cell r="I966">
            <v>96</v>
          </cell>
          <cell r="J966">
            <v>438090</v>
          </cell>
          <cell r="K966">
            <v>256570</v>
          </cell>
          <cell r="L966">
            <v>0</v>
          </cell>
          <cell r="M966">
            <v>0</v>
          </cell>
          <cell r="N966">
            <v>221690</v>
          </cell>
          <cell r="O966">
            <v>0</v>
          </cell>
          <cell r="P966">
            <v>1585</v>
          </cell>
          <cell r="Q966">
            <v>0</v>
          </cell>
          <cell r="R966">
            <v>928744</v>
          </cell>
        </row>
        <row r="967">
          <cell r="B967">
            <v>65</v>
          </cell>
          <cell r="C967" t="str">
            <v>NUCKOLLS</v>
          </cell>
          <cell r="D967" t="str">
            <v>CITY OR VILLAGE</v>
          </cell>
          <cell r="E967">
            <v>66</v>
          </cell>
          <cell r="F967" t="str">
            <v>OAK</v>
          </cell>
          <cell r="G967">
            <v>4696</v>
          </cell>
          <cell r="H967">
            <v>0</v>
          </cell>
          <cell r="I967">
            <v>0</v>
          </cell>
          <cell r="J967">
            <v>723190</v>
          </cell>
          <cell r="K967">
            <v>38860</v>
          </cell>
          <cell r="L967">
            <v>0</v>
          </cell>
          <cell r="M967">
            <v>0</v>
          </cell>
          <cell r="N967">
            <v>96105</v>
          </cell>
          <cell r="O967">
            <v>0</v>
          </cell>
          <cell r="P967">
            <v>0</v>
          </cell>
          <cell r="Q967">
            <v>0</v>
          </cell>
          <cell r="R967">
            <v>862851</v>
          </cell>
        </row>
        <row r="968">
          <cell r="B968">
            <v>65</v>
          </cell>
          <cell r="C968" t="str">
            <v>NUCKOLLS</v>
          </cell>
          <cell r="D968" t="str">
            <v>CITY OR VILLAGE</v>
          </cell>
          <cell r="E968">
            <v>123</v>
          </cell>
          <cell r="F968" t="str">
            <v>RUSKIN</v>
          </cell>
          <cell r="G968">
            <v>1117190</v>
          </cell>
          <cell r="H968">
            <v>115645</v>
          </cell>
          <cell r="I968">
            <v>9806</v>
          </cell>
          <cell r="J968">
            <v>3148800</v>
          </cell>
          <cell r="K968">
            <v>2713195</v>
          </cell>
          <cell r="L968">
            <v>0</v>
          </cell>
          <cell r="M968">
            <v>0</v>
          </cell>
          <cell r="N968">
            <v>167800</v>
          </cell>
          <cell r="O968">
            <v>0</v>
          </cell>
          <cell r="P968">
            <v>67845</v>
          </cell>
          <cell r="Q968">
            <v>0</v>
          </cell>
          <cell r="R968">
            <v>7340281</v>
          </cell>
        </row>
        <row r="969">
          <cell r="B969">
            <v>65</v>
          </cell>
          <cell r="C969" t="str">
            <v>NUCKOLLS</v>
          </cell>
          <cell r="D969" t="str">
            <v>CITY OR VILLAGE</v>
          </cell>
          <cell r="E969">
            <v>1957</v>
          </cell>
          <cell r="F969" t="str">
            <v>SUPERIOR</v>
          </cell>
          <cell r="G969">
            <v>4616008</v>
          </cell>
          <cell r="H969">
            <v>728073</v>
          </cell>
          <cell r="I969">
            <v>1655845</v>
          </cell>
          <cell r="J969">
            <v>44753370</v>
          </cell>
          <cell r="K969">
            <v>22887780</v>
          </cell>
          <cell r="L969">
            <v>366525</v>
          </cell>
          <cell r="M969">
            <v>0</v>
          </cell>
          <cell r="N969">
            <v>61505</v>
          </cell>
          <cell r="O969">
            <v>0</v>
          </cell>
          <cell r="P969">
            <v>27450</v>
          </cell>
          <cell r="Q969">
            <v>0</v>
          </cell>
          <cell r="R969">
            <v>75096556</v>
          </cell>
        </row>
        <row r="970">
          <cell r="B970">
            <v>65</v>
          </cell>
          <cell r="C970" t="str">
            <v>NUCKOLLS</v>
          </cell>
          <cell r="D970" t="str">
            <v>CITY OR VILLAGE</v>
          </cell>
        </row>
        <row r="971">
          <cell r="B971">
            <v>65</v>
          </cell>
          <cell r="C971" t="str">
            <v>NUCKOLLS</v>
          </cell>
          <cell r="D971" t="str">
            <v>CITY OR VILLAGE</v>
          </cell>
        </row>
        <row r="972">
          <cell r="B972">
            <v>65</v>
          </cell>
          <cell r="C972" t="str">
            <v>NUCKOLLS</v>
          </cell>
          <cell r="D972" t="str">
            <v>CITY OR VILLAGE</v>
          </cell>
        </row>
        <row r="973">
          <cell r="B973">
            <v>65</v>
          </cell>
          <cell r="C973" t="str">
            <v>NUCKOLLS</v>
          </cell>
          <cell r="D973" t="str">
            <v>CITY OR VILLAGE</v>
          </cell>
        </row>
        <row r="974">
          <cell r="B974">
            <v>65</v>
          </cell>
          <cell r="C974" t="str">
            <v>NUCKOLLS</v>
          </cell>
          <cell r="D974" t="str">
            <v>CITY OR VILLAGE</v>
          </cell>
        </row>
        <row r="975">
          <cell r="B975">
            <v>65</v>
          </cell>
          <cell r="C975" t="str">
            <v>NUCKOLLS</v>
          </cell>
          <cell r="D975" t="str">
            <v>CITY OR VILLAGE</v>
          </cell>
        </row>
        <row r="976">
          <cell r="B976">
            <v>65</v>
          </cell>
          <cell r="C976" t="str">
            <v>NUCKOLLS</v>
          </cell>
          <cell r="D976" t="str">
            <v>CITY OR VILLAGE</v>
          </cell>
        </row>
        <row r="977">
          <cell r="B977">
            <v>65</v>
          </cell>
          <cell r="C977" t="str">
            <v>NUCKOLLS</v>
          </cell>
          <cell r="D977" t="str">
            <v>CITY OR VILLAGE</v>
          </cell>
        </row>
        <row r="978">
          <cell r="B978">
            <v>66</v>
          </cell>
          <cell r="C978" t="str">
            <v>OTOE</v>
          </cell>
          <cell r="D978" t="str">
            <v>CITY OR VILLAGE</v>
          </cell>
          <cell r="E978">
            <v>57</v>
          </cell>
          <cell r="F978" t="str">
            <v>BURR</v>
          </cell>
          <cell r="G978">
            <v>96143</v>
          </cell>
          <cell r="H978">
            <v>35709</v>
          </cell>
          <cell r="I978">
            <v>1687</v>
          </cell>
          <cell r="J978">
            <v>1463010</v>
          </cell>
          <cell r="K978">
            <v>915040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2511589</v>
          </cell>
        </row>
        <row r="979">
          <cell r="B979">
            <v>66</v>
          </cell>
          <cell r="C979" t="str">
            <v>OTOE</v>
          </cell>
          <cell r="D979" t="str">
            <v>CITY OR VILLAGE</v>
          </cell>
          <cell r="E979">
            <v>173</v>
          </cell>
          <cell r="F979" t="str">
            <v>DOUGLAS</v>
          </cell>
          <cell r="G979">
            <v>3737</v>
          </cell>
          <cell r="H979">
            <v>67544</v>
          </cell>
          <cell r="I979">
            <v>3192</v>
          </cell>
          <cell r="J979">
            <v>5342180</v>
          </cell>
          <cell r="K979">
            <v>424910</v>
          </cell>
          <cell r="L979">
            <v>0</v>
          </cell>
          <cell r="M979">
            <v>0</v>
          </cell>
          <cell r="N979">
            <v>41350</v>
          </cell>
          <cell r="O979">
            <v>0</v>
          </cell>
          <cell r="P979">
            <v>0</v>
          </cell>
          <cell r="Q979">
            <v>0</v>
          </cell>
          <cell r="R979">
            <v>5882913</v>
          </cell>
        </row>
        <row r="980">
          <cell r="B980">
            <v>66</v>
          </cell>
          <cell r="C980" t="str">
            <v>OTOE</v>
          </cell>
          <cell r="D980" t="str">
            <v>CITY OR VILLAGE</v>
          </cell>
          <cell r="E980">
            <v>187</v>
          </cell>
          <cell r="F980" t="str">
            <v>DUNBAR</v>
          </cell>
          <cell r="G980">
            <v>97111</v>
          </cell>
          <cell r="H980">
            <v>65032</v>
          </cell>
          <cell r="I980">
            <v>3073</v>
          </cell>
          <cell r="J980">
            <v>4464540</v>
          </cell>
          <cell r="K980">
            <v>351510</v>
          </cell>
          <cell r="L980">
            <v>0</v>
          </cell>
          <cell r="M980">
            <v>0</v>
          </cell>
          <cell r="N980">
            <v>3720</v>
          </cell>
          <cell r="O980">
            <v>0</v>
          </cell>
          <cell r="P980">
            <v>0</v>
          </cell>
          <cell r="Q980">
            <v>0</v>
          </cell>
          <cell r="R980">
            <v>4984986</v>
          </cell>
        </row>
        <row r="981">
          <cell r="B981">
            <v>66</v>
          </cell>
          <cell r="C981" t="str">
            <v>OTOE</v>
          </cell>
          <cell r="D981" t="str">
            <v>CITY OR VILLAGE</v>
          </cell>
          <cell r="E981">
            <v>41</v>
          </cell>
          <cell r="F981" t="str">
            <v>LORTON</v>
          </cell>
          <cell r="G981">
            <v>6154</v>
          </cell>
          <cell r="H981">
            <v>0</v>
          </cell>
          <cell r="I981">
            <v>0</v>
          </cell>
          <cell r="J981">
            <v>693760</v>
          </cell>
          <cell r="K981">
            <v>180300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880214</v>
          </cell>
        </row>
        <row r="982">
          <cell r="B982">
            <v>66</v>
          </cell>
          <cell r="C982" t="str">
            <v>OTOE</v>
          </cell>
          <cell r="D982" t="str">
            <v>CITY OR VILLAGE</v>
          </cell>
          <cell r="E982">
            <v>7289</v>
          </cell>
          <cell r="F982" t="str">
            <v>NEBRASKA CITY</v>
          </cell>
          <cell r="G982">
            <v>23615943</v>
          </cell>
          <cell r="H982">
            <v>2269755</v>
          </cell>
          <cell r="I982">
            <v>3310589</v>
          </cell>
          <cell r="J982">
            <v>251561810</v>
          </cell>
          <cell r="K982">
            <v>84096690</v>
          </cell>
          <cell r="L982">
            <v>6951500</v>
          </cell>
          <cell r="M982">
            <v>0</v>
          </cell>
          <cell r="N982">
            <v>229360</v>
          </cell>
          <cell r="O982">
            <v>0</v>
          </cell>
          <cell r="P982">
            <v>3900</v>
          </cell>
          <cell r="Q982">
            <v>0</v>
          </cell>
          <cell r="R982">
            <v>372039547</v>
          </cell>
        </row>
        <row r="983">
          <cell r="B983">
            <v>66</v>
          </cell>
          <cell r="C983" t="str">
            <v>OTOE</v>
          </cell>
          <cell r="D983" t="str">
            <v>CITY OR VILLAGE</v>
          </cell>
          <cell r="E983">
            <v>171</v>
          </cell>
          <cell r="F983" t="str">
            <v>OTOE</v>
          </cell>
          <cell r="G983">
            <v>46024</v>
          </cell>
          <cell r="H983">
            <v>38937</v>
          </cell>
          <cell r="I983">
            <v>1840</v>
          </cell>
          <cell r="J983">
            <v>2425400</v>
          </cell>
          <cell r="K983">
            <v>147640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2659841</v>
          </cell>
        </row>
        <row r="984">
          <cell r="B984">
            <v>66</v>
          </cell>
          <cell r="C984" t="str">
            <v>OTOE</v>
          </cell>
          <cell r="D984" t="str">
            <v>CITY OR VILLAGE</v>
          </cell>
          <cell r="E984">
            <v>545</v>
          </cell>
          <cell r="F984" t="str">
            <v>PALMYRA</v>
          </cell>
          <cell r="G984">
            <v>309808</v>
          </cell>
          <cell r="H984">
            <v>319657</v>
          </cell>
          <cell r="I984">
            <v>31214</v>
          </cell>
          <cell r="J984">
            <v>23785510</v>
          </cell>
          <cell r="K984">
            <v>2478890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26925079</v>
          </cell>
        </row>
        <row r="985">
          <cell r="B985">
            <v>66</v>
          </cell>
          <cell r="C985" t="str">
            <v>OTOE</v>
          </cell>
          <cell r="D985" t="str">
            <v>CITY OR VILLAGE</v>
          </cell>
          <cell r="E985">
            <v>1944</v>
          </cell>
          <cell r="F985" t="str">
            <v>SYRACUSE</v>
          </cell>
          <cell r="G985">
            <v>3415838</v>
          </cell>
          <cell r="H985">
            <v>243339</v>
          </cell>
          <cell r="I985">
            <v>13944</v>
          </cell>
          <cell r="J985">
            <v>89286740</v>
          </cell>
          <cell r="K985">
            <v>20288040</v>
          </cell>
          <cell r="L985">
            <v>1683310</v>
          </cell>
          <cell r="M985">
            <v>0</v>
          </cell>
          <cell r="N985">
            <v>458440</v>
          </cell>
          <cell r="O985">
            <v>310770</v>
          </cell>
          <cell r="P985">
            <v>6210</v>
          </cell>
          <cell r="Q985">
            <v>0</v>
          </cell>
          <cell r="R985">
            <v>115706631</v>
          </cell>
        </row>
        <row r="986">
          <cell r="B986">
            <v>66</v>
          </cell>
          <cell r="C986" t="str">
            <v>OTOE</v>
          </cell>
          <cell r="D986" t="str">
            <v>CITY OR VILLAGE</v>
          </cell>
          <cell r="E986">
            <v>233</v>
          </cell>
          <cell r="F986" t="str">
            <v>TALMAGE</v>
          </cell>
          <cell r="G986">
            <v>105834</v>
          </cell>
          <cell r="H986">
            <v>73040</v>
          </cell>
          <cell r="I986">
            <v>3451</v>
          </cell>
          <cell r="J986">
            <v>3807770</v>
          </cell>
          <cell r="K986">
            <v>3373820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7363915</v>
          </cell>
        </row>
        <row r="987">
          <cell r="B987">
            <v>66</v>
          </cell>
          <cell r="C987" t="str">
            <v>OTOE</v>
          </cell>
          <cell r="D987" t="str">
            <v>CITY OR VILLAGE</v>
          </cell>
          <cell r="E987">
            <v>311</v>
          </cell>
          <cell r="F987" t="str">
            <v>UNADILLA</v>
          </cell>
          <cell r="G987">
            <v>252154</v>
          </cell>
          <cell r="H987">
            <v>79081</v>
          </cell>
          <cell r="I987">
            <v>3737</v>
          </cell>
          <cell r="J987">
            <v>12702690</v>
          </cell>
          <cell r="K987">
            <v>1303410</v>
          </cell>
          <cell r="L987">
            <v>0</v>
          </cell>
          <cell r="M987">
            <v>0</v>
          </cell>
          <cell r="N987">
            <v>85570</v>
          </cell>
          <cell r="O987">
            <v>0</v>
          </cell>
          <cell r="P987">
            <v>0</v>
          </cell>
          <cell r="Q987">
            <v>0</v>
          </cell>
          <cell r="R987">
            <v>14426642</v>
          </cell>
        </row>
        <row r="988">
          <cell r="B988">
            <v>66</v>
          </cell>
          <cell r="C988" t="str">
            <v>OTOE</v>
          </cell>
          <cell r="D988" t="str">
            <v>CITY OR VILLAGE</v>
          </cell>
        </row>
        <row r="989">
          <cell r="B989">
            <v>66</v>
          </cell>
          <cell r="C989" t="str">
            <v>OTOE</v>
          </cell>
          <cell r="D989" t="str">
            <v>CITY OR VILLAGE</v>
          </cell>
        </row>
        <row r="990">
          <cell r="B990">
            <v>66</v>
          </cell>
          <cell r="C990" t="str">
            <v>OTOE</v>
          </cell>
          <cell r="D990" t="str">
            <v>CITY OR VILLAGE</v>
          </cell>
        </row>
        <row r="991">
          <cell r="B991">
            <v>66</v>
          </cell>
          <cell r="C991" t="str">
            <v>OTOE</v>
          </cell>
          <cell r="D991" t="str">
            <v>CITY OR VILLAGE</v>
          </cell>
        </row>
        <row r="992">
          <cell r="B992">
            <v>66</v>
          </cell>
          <cell r="C992" t="str">
            <v>OTOE</v>
          </cell>
          <cell r="D992" t="str">
            <v>CITY OR VILLAGE</v>
          </cell>
        </row>
        <row r="993">
          <cell r="B993">
            <v>67</v>
          </cell>
          <cell r="C993" t="str">
            <v>PAWNEE</v>
          </cell>
          <cell r="D993" t="str">
            <v>CITY OR VILLAGE</v>
          </cell>
          <cell r="E993">
            <v>82</v>
          </cell>
          <cell r="F993" t="str">
            <v>BURCHARD</v>
          </cell>
          <cell r="G993">
            <v>27165</v>
          </cell>
          <cell r="H993">
            <v>46429</v>
          </cell>
          <cell r="I993">
            <v>2194</v>
          </cell>
          <cell r="J993">
            <v>1251300</v>
          </cell>
          <cell r="K993">
            <v>4419480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5746568</v>
          </cell>
        </row>
        <row r="994">
          <cell r="B994">
            <v>67</v>
          </cell>
          <cell r="C994" t="str">
            <v>PAWNEE</v>
          </cell>
          <cell r="D994" t="str">
            <v>CITY OR VILLAGE</v>
          </cell>
          <cell r="E994">
            <v>147</v>
          </cell>
          <cell r="F994" t="str">
            <v>DUBOIS</v>
          </cell>
          <cell r="G994">
            <v>57970</v>
          </cell>
          <cell r="H994">
            <v>48448</v>
          </cell>
          <cell r="I994">
            <v>2289</v>
          </cell>
          <cell r="J994">
            <v>3299560</v>
          </cell>
          <cell r="K994">
            <v>696760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4105027</v>
          </cell>
        </row>
        <row r="995">
          <cell r="B995">
            <v>67</v>
          </cell>
          <cell r="C995" t="str">
            <v>PAWNEE</v>
          </cell>
          <cell r="D995" t="str">
            <v>CITY OR VILLAGE</v>
          </cell>
          <cell r="E995">
            <v>68</v>
          </cell>
          <cell r="F995" t="str">
            <v>LEWISTON</v>
          </cell>
          <cell r="G995">
            <v>16965</v>
          </cell>
          <cell r="H995">
            <v>7706</v>
          </cell>
          <cell r="I995">
            <v>364</v>
          </cell>
          <cell r="J995">
            <v>1091675</v>
          </cell>
          <cell r="K995">
            <v>65330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1182040</v>
          </cell>
        </row>
        <row r="996">
          <cell r="B996">
            <v>67</v>
          </cell>
          <cell r="C996" t="str">
            <v>PAWNEE</v>
          </cell>
          <cell r="D996" t="str">
            <v>CITY OR VILLAGE</v>
          </cell>
          <cell r="E996">
            <v>878</v>
          </cell>
          <cell r="F996" t="str">
            <v>PAWNEE CITY</v>
          </cell>
          <cell r="G996">
            <v>905175</v>
          </cell>
          <cell r="H996">
            <v>724768</v>
          </cell>
          <cell r="I996">
            <v>448855</v>
          </cell>
          <cell r="J996">
            <v>19280235</v>
          </cell>
          <cell r="K996">
            <v>6625710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27984743</v>
          </cell>
        </row>
        <row r="997">
          <cell r="B997">
            <v>67</v>
          </cell>
          <cell r="C997" t="str">
            <v>PAWNEE</v>
          </cell>
          <cell r="D997" t="str">
            <v>CITY OR VILLAGE</v>
          </cell>
          <cell r="E997">
            <v>75</v>
          </cell>
          <cell r="F997" t="str">
            <v>STEINAUER</v>
          </cell>
          <cell r="G997">
            <v>11130</v>
          </cell>
          <cell r="H997">
            <v>37285</v>
          </cell>
          <cell r="I997">
            <v>1762</v>
          </cell>
          <cell r="J997">
            <v>1494305</v>
          </cell>
          <cell r="K997">
            <v>100785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1645267</v>
          </cell>
        </row>
        <row r="998">
          <cell r="B998">
            <v>67</v>
          </cell>
          <cell r="C998" t="str">
            <v>PAWNEE</v>
          </cell>
          <cell r="D998" t="str">
            <v>CITY OR VILLAGE</v>
          </cell>
          <cell r="E998">
            <v>269</v>
          </cell>
          <cell r="F998" t="str">
            <v>TABLE ROCK</v>
          </cell>
          <cell r="G998">
            <v>233020</v>
          </cell>
          <cell r="H998">
            <v>338880</v>
          </cell>
          <cell r="I998">
            <v>1513865</v>
          </cell>
          <cell r="J998">
            <v>6578885</v>
          </cell>
          <cell r="K998">
            <v>1272840</v>
          </cell>
          <cell r="L998">
            <v>19975</v>
          </cell>
          <cell r="M998">
            <v>0</v>
          </cell>
          <cell r="N998">
            <v>67615</v>
          </cell>
          <cell r="O998">
            <v>0</v>
          </cell>
          <cell r="P998">
            <v>0</v>
          </cell>
          <cell r="Q998">
            <v>0</v>
          </cell>
          <cell r="R998">
            <v>10025080</v>
          </cell>
        </row>
        <row r="999">
          <cell r="B999">
            <v>67</v>
          </cell>
          <cell r="C999" t="str">
            <v>PAWNEE</v>
          </cell>
          <cell r="D999" t="str">
            <v>CITY OR VILLAGE</v>
          </cell>
        </row>
        <row r="1000">
          <cell r="B1000">
            <v>67</v>
          </cell>
          <cell r="C1000" t="str">
            <v>PAWNEE</v>
          </cell>
          <cell r="D1000" t="str">
            <v>CITY OR VILLAGE</v>
          </cell>
        </row>
        <row r="1001">
          <cell r="B1001">
            <v>67</v>
          </cell>
          <cell r="C1001" t="str">
            <v>PAWNEE</v>
          </cell>
          <cell r="D1001" t="str">
            <v>CITY OR VILLAGE</v>
          </cell>
        </row>
        <row r="1002">
          <cell r="B1002">
            <v>67</v>
          </cell>
          <cell r="C1002" t="str">
            <v>PAWNEE</v>
          </cell>
          <cell r="D1002" t="str">
            <v>CITY OR VILLAGE</v>
          </cell>
        </row>
        <row r="1003">
          <cell r="B1003">
            <v>67</v>
          </cell>
          <cell r="C1003" t="str">
            <v>PAWNEE</v>
          </cell>
          <cell r="D1003" t="str">
            <v>CITY OR VILLAGE</v>
          </cell>
        </row>
        <row r="1004">
          <cell r="B1004">
            <v>67</v>
          </cell>
          <cell r="C1004" t="str">
            <v>PAWNEE</v>
          </cell>
          <cell r="D1004" t="str">
            <v>CITY OR VILLAGE</v>
          </cell>
        </row>
        <row r="1005">
          <cell r="B1005">
            <v>67</v>
          </cell>
          <cell r="C1005" t="str">
            <v>PAWNEE</v>
          </cell>
          <cell r="D1005" t="str">
            <v>CITY OR VILLAGE</v>
          </cell>
        </row>
        <row r="1006">
          <cell r="B1006">
            <v>67</v>
          </cell>
          <cell r="C1006" t="str">
            <v>PAWNEE</v>
          </cell>
          <cell r="D1006" t="str">
            <v>CITY OR VILLAGE</v>
          </cell>
        </row>
        <row r="1007">
          <cell r="B1007">
            <v>67</v>
          </cell>
          <cell r="C1007" t="str">
            <v>PAWNEE</v>
          </cell>
          <cell r="D1007" t="str">
            <v>CITY OR VILLAGE</v>
          </cell>
        </row>
        <row r="1008">
          <cell r="B1008">
            <v>68</v>
          </cell>
          <cell r="C1008" t="str">
            <v>PERKINS</v>
          </cell>
          <cell r="D1008" t="str">
            <v>CITY OR VILLAGE</v>
          </cell>
          <cell r="E1008">
            <v>106</v>
          </cell>
          <cell r="F1008" t="str">
            <v>ELSIE</v>
          </cell>
          <cell r="G1008">
            <v>2301780</v>
          </cell>
          <cell r="H1008">
            <v>87354</v>
          </cell>
          <cell r="I1008">
            <v>30743</v>
          </cell>
          <cell r="J1008">
            <v>2936940</v>
          </cell>
          <cell r="K1008">
            <v>1414443</v>
          </cell>
          <cell r="L1008">
            <v>0</v>
          </cell>
          <cell r="M1008">
            <v>0</v>
          </cell>
          <cell r="N1008">
            <v>22524</v>
          </cell>
          <cell r="O1008">
            <v>0</v>
          </cell>
          <cell r="P1008">
            <v>2530</v>
          </cell>
          <cell r="Q1008">
            <v>0</v>
          </cell>
          <cell r="R1008">
            <v>6796314</v>
          </cell>
        </row>
        <row r="1009">
          <cell r="B1009">
            <v>68</v>
          </cell>
          <cell r="C1009" t="str">
            <v>PERKINS</v>
          </cell>
          <cell r="D1009" t="str">
            <v>CITY OR VILLAGE</v>
          </cell>
          <cell r="E1009">
            <v>1172</v>
          </cell>
          <cell r="F1009" t="str">
            <v>GRANT</v>
          </cell>
          <cell r="G1009">
            <v>1787908</v>
          </cell>
          <cell r="H1009">
            <v>1343118</v>
          </cell>
          <cell r="I1009">
            <v>448129</v>
          </cell>
          <cell r="J1009">
            <v>45820445</v>
          </cell>
          <cell r="K1009">
            <v>13240188</v>
          </cell>
          <cell r="L1009">
            <v>0</v>
          </cell>
          <cell r="M1009">
            <v>0</v>
          </cell>
          <cell r="N1009">
            <v>21711</v>
          </cell>
          <cell r="O1009">
            <v>25000</v>
          </cell>
          <cell r="P1009">
            <v>3200</v>
          </cell>
          <cell r="Q1009">
            <v>0</v>
          </cell>
          <cell r="R1009">
            <v>62689699</v>
          </cell>
        </row>
        <row r="1010">
          <cell r="B1010">
            <v>68</v>
          </cell>
          <cell r="C1010" t="str">
            <v>PERKINS</v>
          </cell>
          <cell r="D1010" t="str">
            <v>CITY OR VILLAGE</v>
          </cell>
          <cell r="E1010">
            <v>231</v>
          </cell>
          <cell r="F1010" t="str">
            <v>MADRID</v>
          </cell>
          <cell r="G1010">
            <v>1564842</v>
          </cell>
          <cell r="H1010">
            <v>72863</v>
          </cell>
          <cell r="I1010">
            <v>43018</v>
          </cell>
          <cell r="J1010">
            <v>6628753</v>
          </cell>
          <cell r="K1010">
            <v>2091907</v>
          </cell>
          <cell r="L1010">
            <v>13385246</v>
          </cell>
          <cell r="M1010">
            <v>0</v>
          </cell>
          <cell r="N1010">
            <v>410708</v>
          </cell>
          <cell r="O1010">
            <v>0</v>
          </cell>
          <cell r="P1010">
            <v>0</v>
          </cell>
          <cell r="Q1010">
            <v>0</v>
          </cell>
          <cell r="R1010">
            <v>24197337</v>
          </cell>
        </row>
        <row r="1011">
          <cell r="B1011">
            <v>68</v>
          </cell>
          <cell r="C1011" t="str">
            <v>PERKINS</v>
          </cell>
          <cell r="D1011" t="str">
            <v>CITY OR VILLAGE</v>
          </cell>
          <cell r="E1011">
            <v>164</v>
          </cell>
          <cell r="F1011" t="str">
            <v>VENANGO</v>
          </cell>
          <cell r="G1011">
            <v>1636666</v>
          </cell>
          <cell r="H1011">
            <v>165973</v>
          </cell>
          <cell r="I1011">
            <v>83330</v>
          </cell>
          <cell r="J1011">
            <v>3945155</v>
          </cell>
          <cell r="K1011">
            <v>5293225</v>
          </cell>
          <cell r="L1011">
            <v>0</v>
          </cell>
          <cell r="M1011">
            <v>0</v>
          </cell>
          <cell r="N1011">
            <v>146450</v>
          </cell>
          <cell r="O1011">
            <v>0</v>
          </cell>
          <cell r="P1011">
            <v>348980</v>
          </cell>
          <cell r="Q1011">
            <v>0</v>
          </cell>
          <cell r="R1011">
            <v>11619779</v>
          </cell>
        </row>
        <row r="1012">
          <cell r="B1012">
            <v>68</v>
          </cell>
          <cell r="C1012" t="str">
            <v>PERKINS</v>
          </cell>
          <cell r="D1012" t="str">
            <v>CITY OR VILLAGE</v>
          </cell>
        </row>
        <row r="1013">
          <cell r="B1013">
            <v>68</v>
          </cell>
          <cell r="C1013" t="str">
            <v>PERKINS</v>
          </cell>
          <cell r="D1013" t="str">
            <v>CITY OR VILLAGE</v>
          </cell>
        </row>
        <row r="1014">
          <cell r="B1014">
            <v>68</v>
          </cell>
          <cell r="C1014" t="str">
            <v>PERKINS</v>
          </cell>
          <cell r="D1014" t="str">
            <v>CITY OR VILLAGE</v>
          </cell>
        </row>
        <row r="1015">
          <cell r="B1015">
            <v>68</v>
          </cell>
          <cell r="C1015" t="str">
            <v>PERKINS</v>
          </cell>
          <cell r="D1015" t="str">
            <v>CITY OR VILLAGE</v>
          </cell>
        </row>
        <row r="1016">
          <cell r="B1016">
            <v>68</v>
          </cell>
          <cell r="C1016" t="str">
            <v>PERKINS</v>
          </cell>
          <cell r="D1016" t="str">
            <v>CITY OR VILLAGE</v>
          </cell>
        </row>
        <row r="1017">
          <cell r="B1017">
            <v>68</v>
          </cell>
          <cell r="C1017" t="str">
            <v>PERKINS</v>
          </cell>
          <cell r="D1017" t="str">
            <v>CITY OR VILLAGE</v>
          </cell>
        </row>
        <row r="1018">
          <cell r="B1018">
            <v>68</v>
          </cell>
          <cell r="C1018" t="str">
            <v>PERKINS</v>
          </cell>
          <cell r="D1018" t="str">
            <v>CITY OR VILLAGE</v>
          </cell>
        </row>
        <row r="1019">
          <cell r="B1019">
            <v>68</v>
          </cell>
          <cell r="C1019" t="str">
            <v>PERKINS</v>
          </cell>
          <cell r="D1019" t="str">
            <v>CITY OR VILLAGE</v>
          </cell>
        </row>
        <row r="1020">
          <cell r="B1020">
            <v>68</v>
          </cell>
          <cell r="C1020" t="str">
            <v>PERKINS</v>
          </cell>
          <cell r="D1020" t="str">
            <v>CITY OR VILLAGE</v>
          </cell>
        </row>
        <row r="1021">
          <cell r="B1021">
            <v>68</v>
          </cell>
          <cell r="C1021" t="str">
            <v>PERKINS</v>
          </cell>
          <cell r="D1021" t="str">
            <v>CITY OR VILLAGE</v>
          </cell>
        </row>
        <row r="1022">
          <cell r="B1022">
            <v>68</v>
          </cell>
          <cell r="C1022" t="str">
            <v>PERKINS</v>
          </cell>
          <cell r="D1022" t="str">
            <v>CITY OR VILLAGE</v>
          </cell>
        </row>
        <row r="1023">
          <cell r="B1023">
            <v>69</v>
          </cell>
          <cell r="C1023" t="str">
            <v>PHELPS</v>
          </cell>
          <cell r="D1023" t="str">
            <v>CITY OR VILLAGE</v>
          </cell>
          <cell r="E1023">
            <v>131</v>
          </cell>
          <cell r="F1023" t="str">
            <v>ATLANTA</v>
          </cell>
          <cell r="G1023">
            <v>3002221</v>
          </cell>
          <cell r="H1023">
            <v>112464</v>
          </cell>
          <cell r="I1023">
            <v>427361</v>
          </cell>
          <cell r="J1023">
            <v>3057666</v>
          </cell>
          <cell r="K1023">
            <v>1863512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8463224</v>
          </cell>
        </row>
        <row r="1024">
          <cell r="B1024">
            <v>69</v>
          </cell>
          <cell r="C1024" t="str">
            <v>PHELPS</v>
          </cell>
          <cell r="D1024" t="str">
            <v>CITY OR VILLAGE</v>
          </cell>
          <cell r="E1024">
            <v>750</v>
          </cell>
          <cell r="F1024" t="str">
            <v>BERTRAND</v>
          </cell>
          <cell r="G1024">
            <v>1562230</v>
          </cell>
          <cell r="H1024">
            <v>321475</v>
          </cell>
          <cell r="I1024">
            <v>73439</v>
          </cell>
          <cell r="J1024">
            <v>25585156</v>
          </cell>
          <cell r="K1024">
            <v>3196124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30738424</v>
          </cell>
        </row>
        <row r="1025">
          <cell r="B1025">
            <v>69</v>
          </cell>
          <cell r="C1025" t="str">
            <v>PHELPS</v>
          </cell>
          <cell r="D1025" t="str">
            <v>CITY OR VILLAGE</v>
          </cell>
          <cell r="E1025">
            <v>194</v>
          </cell>
          <cell r="F1025" t="str">
            <v>FUNK</v>
          </cell>
          <cell r="G1025">
            <v>562254</v>
          </cell>
          <cell r="H1025">
            <v>237468</v>
          </cell>
          <cell r="I1025">
            <v>724373</v>
          </cell>
          <cell r="J1025">
            <v>8712086</v>
          </cell>
          <cell r="K1025">
            <v>4189472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14425653</v>
          </cell>
        </row>
        <row r="1026">
          <cell r="B1026">
            <v>69</v>
          </cell>
          <cell r="C1026" t="str">
            <v>PHELPS</v>
          </cell>
          <cell r="D1026" t="str">
            <v>CITY OR VILLAGE</v>
          </cell>
          <cell r="E1026">
            <v>5495</v>
          </cell>
          <cell r="F1026" t="str">
            <v>HOLDREGE</v>
          </cell>
          <cell r="G1026">
            <v>10608850</v>
          </cell>
          <cell r="H1026">
            <v>5584642</v>
          </cell>
          <cell r="I1026">
            <v>4779021</v>
          </cell>
          <cell r="J1026">
            <v>255772313</v>
          </cell>
          <cell r="K1026">
            <v>59980279</v>
          </cell>
          <cell r="L1026">
            <v>2906753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339631858</v>
          </cell>
        </row>
        <row r="1027">
          <cell r="B1027">
            <v>69</v>
          </cell>
          <cell r="C1027" t="str">
            <v>PHELPS</v>
          </cell>
          <cell r="D1027" t="str">
            <v>CITY OR VILLAGE</v>
          </cell>
          <cell r="E1027">
            <v>382</v>
          </cell>
          <cell r="F1027" t="str">
            <v>LOOMIS</v>
          </cell>
          <cell r="G1027">
            <v>626104</v>
          </cell>
          <cell r="H1027">
            <v>475216</v>
          </cell>
          <cell r="I1027">
            <v>70036</v>
          </cell>
          <cell r="J1027">
            <v>16891462</v>
          </cell>
          <cell r="K1027">
            <v>12151518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30214336</v>
          </cell>
        </row>
        <row r="1028">
          <cell r="B1028">
            <v>69</v>
          </cell>
          <cell r="C1028" t="str">
            <v>PHELPS</v>
          </cell>
          <cell r="D1028" t="str">
            <v>CITY OR VILLAGE</v>
          </cell>
        </row>
        <row r="1029">
          <cell r="B1029">
            <v>69</v>
          </cell>
          <cell r="C1029" t="str">
            <v>PHELPS</v>
          </cell>
          <cell r="D1029" t="str">
            <v>CITY OR VILLAGE</v>
          </cell>
        </row>
        <row r="1030">
          <cell r="B1030">
            <v>69</v>
          </cell>
          <cell r="C1030" t="str">
            <v>PHELPS</v>
          </cell>
          <cell r="D1030" t="str">
            <v>CITY OR VILLAGE</v>
          </cell>
        </row>
        <row r="1031">
          <cell r="B1031">
            <v>69</v>
          </cell>
          <cell r="C1031" t="str">
            <v>PHELPS</v>
          </cell>
          <cell r="D1031" t="str">
            <v>CITY OR VILLAGE</v>
          </cell>
        </row>
        <row r="1032">
          <cell r="B1032">
            <v>69</v>
          </cell>
          <cell r="C1032" t="str">
            <v>PHELPS</v>
          </cell>
          <cell r="D1032" t="str">
            <v>CITY OR VILLAGE</v>
          </cell>
        </row>
        <row r="1033">
          <cell r="B1033">
            <v>69</v>
          </cell>
          <cell r="C1033" t="str">
            <v>PHELPS</v>
          </cell>
          <cell r="D1033" t="str">
            <v>CITY OR VILLAGE</v>
          </cell>
        </row>
        <row r="1034">
          <cell r="B1034">
            <v>69</v>
          </cell>
          <cell r="C1034" t="str">
            <v>PHELPS</v>
          </cell>
          <cell r="D1034" t="str">
            <v>CITY OR VILLAGE</v>
          </cell>
        </row>
        <row r="1035">
          <cell r="B1035">
            <v>69</v>
          </cell>
          <cell r="C1035" t="str">
            <v>PHELPS</v>
          </cell>
          <cell r="D1035" t="str">
            <v>CITY OR VILLAGE</v>
          </cell>
        </row>
        <row r="1036">
          <cell r="B1036">
            <v>69</v>
          </cell>
          <cell r="C1036" t="str">
            <v>PHELPS</v>
          </cell>
          <cell r="D1036" t="str">
            <v>CITY OR VILLAGE</v>
          </cell>
        </row>
        <row r="1037">
          <cell r="B1037">
            <v>69</v>
          </cell>
          <cell r="C1037" t="str">
            <v>PHELPS</v>
          </cell>
          <cell r="D1037" t="str">
            <v>CITY OR VILLAGE</v>
          </cell>
        </row>
        <row r="1038">
          <cell r="B1038">
            <v>70</v>
          </cell>
          <cell r="C1038" t="str">
            <v>PIERCE</v>
          </cell>
          <cell r="D1038" t="str">
            <v>CITY OR VILLAGE</v>
          </cell>
          <cell r="E1038">
            <v>51</v>
          </cell>
          <cell r="F1038" t="str">
            <v>FOSTER</v>
          </cell>
          <cell r="G1038">
            <v>56569</v>
          </cell>
          <cell r="H1038">
            <v>33728</v>
          </cell>
          <cell r="I1038">
            <v>3915</v>
          </cell>
          <cell r="J1038">
            <v>1144805</v>
          </cell>
          <cell r="K1038">
            <v>422750</v>
          </cell>
          <cell r="L1038">
            <v>0</v>
          </cell>
          <cell r="M1038">
            <v>0</v>
          </cell>
          <cell r="N1038">
            <v>9395</v>
          </cell>
          <cell r="O1038">
            <v>0</v>
          </cell>
          <cell r="P1038">
            <v>0</v>
          </cell>
          <cell r="Q1038">
            <v>0</v>
          </cell>
          <cell r="R1038">
            <v>1671162</v>
          </cell>
        </row>
        <row r="1039">
          <cell r="B1039">
            <v>70</v>
          </cell>
          <cell r="C1039" t="str">
            <v>PIERCE</v>
          </cell>
          <cell r="D1039" t="str">
            <v>CITY OR VILLAGE</v>
          </cell>
          <cell r="E1039">
            <v>293</v>
          </cell>
          <cell r="F1039" t="str">
            <v>HADAR</v>
          </cell>
          <cell r="G1039">
            <v>376148</v>
          </cell>
          <cell r="H1039">
            <v>1062</v>
          </cell>
          <cell r="I1039">
            <v>459</v>
          </cell>
          <cell r="J1039">
            <v>17754320</v>
          </cell>
          <cell r="K1039">
            <v>1905485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20037474</v>
          </cell>
        </row>
        <row r="1040">
          <cell r="B1040">
            <v>70</v>
          </cell>
          <cell r="C1040" t="str">
            <v>PIERCE</v>
          </cell>
          <cell r="D1040" t="str">
            <v>CITY OR VILLAGE</v>
          </cell>
          <cell r="E1040">
            <v>36</v>
          </cell>
          <cell r="F1040" t="str">
            <v>MCLEAN</v>
          </cell>
          <cell r="G1040">
            <v>602</v>
          </cell>
          <cell r="H1040">
            <v>32707</v>
          </cell>
          <cell r="I1040">
            <v>180815</v>
          </cell>
          <cell r="J1040">
            <v>900290</v>
          </cell>
          <cell r="K1040">
            <v>30360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1144774</v>
          </cell>
        </row>
        <row r="1041">
          <cell r="B1041">
            <v>70</v>
          </cell>
          <cell r="C1041" t="str">
            <v>PIERCE</v>
          </cell>
          <cell r="D1041" t="str">
            <v>CITY OR VILLAGE</v>
          </cell>
          <cell r="E1041">
            <v>783</v>
          </cell>
          <cell r="F1041" t="str">
            <v>OSMOND</v>
          </cell>
          <cell r="G1041">
            <v>2929796</v>
          </cell>
          <cell r="H1041">
            <v>501028</v>
          </cell>
          <cell r="I1041">
            <v>456181</v>
          </cell>
          <cell r="J1041">
            <v>27920445</v>
          </cell>
          <cell r="K1041">
            <v>12200085</v>
          </cell>
          <cell r="L1041">
            <v>0</v>
          </cell>
          <cell r="M1041">
            <v>0</v>
          </cell>
          <cell r="N1041">
            <v>41675</v>
          </cell>
          <cell r="O1041">
            <v>0</v>
          </cell>
          <cell r="P1041">
            <v>0</v>
          </cell>
          <cell r="Q1041">
            <v>0</v>
          </cell>
          <cell r="R1041">
            <v>44049210</v>
          </cell>
        </row>
        <row r="1042">
          <cell r="B1042">
            <v>70</v>
          </cell>
          <cell r="C1042" t="str">
            <v>PIERCE</v>
          </cell>
          <cell r="D1042" t="str">
            <v>CITY OR VILLAGE</v>
          </cell>
          <cell r="E1042">
            <v>1767</v>
          </cell>
          <cell r="F1042" t="str">
            <v>PIERCE</v>
          </cell>
          <cell r="G1042">
            <v>884246</v>
          </cell>
          <cell r="H1042">
            <v>703552</v>
          </cell>
          <cell r="I1042">
            <v>64328</v>
          </cell>
          <cell r="J1042">
            <v>80688855</v>
          </cell>
          <cell r="K1042">
            <v>9982365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92323346</v>
          </cell>
        </row>
        <row r="1043">
          <cell r="B1043">
            <v>70</v>
          </cell>
          <cell r="C1043" t="str">
            <v>PIERCE</v>
          </cell>
          <cell r="D1043" t="str">
            <v>CITY OR VILLAGE</v>
          </cell>
          <cell r="E1043">
            <v>1246</v>
          </cell>
          <cell r="F1043" t="str">
            <v>PLAINVIEW</v>
          </cell>
          <cell r="G1043">
            <v>1320628</v>
          </cell>
          <cell r="H1043">
            <v>1605840</v>
          </cell>
          <cell r="I1043">
            <v>634703</v>
          </cell>
          <cell r="J1043">
            <v>37946710</v>
          </cell>
          <cell r="K1043">
            <v>5863800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47371681</v>
          </cell>
        </row>
        <row r="1044">
          <cell r="B1044">
            <v>70</v>
          </cell>
          <cell r="C1044" t="str">
            <v>PIERCE</v>
          </cell>
          <cell r="D1044" t="str">
            <v>CITY OR VILLAGE</v>
          </cell>
          <cell r="E1044">
            <v>946</v>
          </cell>
          <cell r="F1044" t="str">
            <v>RANDOLPH</v>
          </cell>
          <cell r="G1044">
            <v>18954</v>
          </cell>
          <cell r="H1044">
            <v>0</v>
          </cell>
          <cell r="I1044">
            <v>0</v>
          </cell>
          <cell r="J1044">
            <v>162020</v>
          </cell>
          <cell r="K1044">
            <v>131805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312779</v>
          </cell>
        </row>
        <row r="1045">
          <cell r="B1045">
            <v>70</v>
          </cell>
          <cell r="C1045" t="str">
            <v>PIERCE</v>
          </cell>
          <cell r="D1045" t="str">
            <v>CITY OR VILLAGE</v>
          </cell>
        </row>
        <row r="1046">
          <cell r="B1046">
            <v>70</v>
          </cell>
          <cell r="C1046" t="str">
            <v>PIERCE</v>
          </cell>
          <cell r="D1046" t="str">
            <v>CITY OR VILLAGE</v>
          </cell>
        </row>
        <row r="1047">
          <cell r="B1047">
            <v>70</v>
          </cell>
          <cell r="C1047" t="str">
            <v>PIERCE</v>
          </cell>
          <cell r="D1047" t="str">
            <v>CITY OR VILLAGE</v>
          </cell>
        </row>
        <row r="1048">
          <cell r="B1048">
            <v>70</v>
          </cell>
          <cell r="C1048" t="str">
            <v>PIERCE</v>
          </cell>
          <cell r="D1048" t="str">
            <v>CITY OR VILLAGE</v>
          </cell>
        </row>
        <row r="1049">
          <cell r="B1049">
            <v>70</v>
          </cell>
          <cell r="C1049" t="str">
            <v>PIERCE</v>
          </cell>
          <cell r="D1049" t="str">
            <v>CITY OR VILLAGE</v>
          </cell>
        </row>
        <row r="1050">
          <cell r="B1050">
            <v>70</v>
          </cell>
          <cell r="C1050" t="str">
            <v>PIERCE</v>
          </cell>
          <cell r="D1050" t="str">
            <v>CITY OR VILLAGE</v>
          </cell>
        </row>
        <row r="1051">
          <cell r="B1051">
            <v>70</v>
          </cell>
          <cell r="C1051" t="str">
            <v>PIERCE</v>
          </cell>
          <cell r="D1051" t="str">
            <v>CITY OR VILLAGE</v>
          </cell>
        </row>
        <row r="1052">
          <cell r="B1052">
            <v>70</v>
          </cell>
          <cell r="C1052" t="str">
            <v>PIERCE</v>
          </cell>
          <cell r="D1052" t="str">
            <v>CITY OR VILLAGE</v>
          </cell>
        </row>
        <row r="1053">
          <cell r="B1053">
            <v>71</v>
          </cell>
          <cell r="C1053" t="str">
            <v>PLATTE</v>
          </cell>
          <cell r="D1053" t="str">
            <v>CITY OR VILLAGE</v>
          </cell>
          <cell r="E1053">
            <v>22327</v>
          </cell>
          <cell r="F1053" t="str">
            <v>COLUMBUS</v>
          </cell>
          <cell r="G1053">
            <v>46712124</v>
          </cell>
          <cell r="H1053">
            <v>9394313</v>
          </cell>
          <cell r="I1053">
            <v>9585091</v>
          </cell>
          <cell r="J1053">
            <v>1268263213</v>
          </cell>
          <cell r="K1053">
            <v>397906620</v>
          </cell>
          <cell r="L1053">
            <v>16640435</v>
          </cell>
          <cell r="M1053">
            <v>296685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1748798481</v>
          </cell>
        </row>
        <row r="1054">
          <cell r="B1054">
            <v>71</v>
          </cell>
          <cell r="C1054" t="str">
            <v>PLATTE</v>
          </cell>
          <cell r="D1054" t="str">
            <v>CITY OR VILLAGE</v>
          </cell>
          <cell r="E1054">
            <v>36</v>
          </cell>
          <cell r="F1054" t="str">
            <v>CORNLEA</v>
          </cell>
          <cell r="G1054">
            <v>320814</v>
          </cell>
          <cell r="H1054">
            <v>0</v>
          </cell>
          <cell r="I1054">
            <v>0</v>
          </cell>
          <cell r="J1054">
            <v>1477525</v>
          </cell>
          <cell r="K1054">
            <v>777605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2575944</v>
          </cell>
        </row>
        <row r="1055">
          <cell r="B1055">
            <v>71</v>
          </cell>
          <cell r="C1055" t="str">
            <v>PLATTE</v>
          </cell>
          <cell r="D1055" t="str">
            <v>CITY OR VILLAGE</v>
          </cell>
          <cell r="E1055">
            <v>203</v>
          </cell>
          <cell r="F1055" t="str">
            <v>CRESTON</v>
          </cell>
          <cell r="G1055">
            <v>470302</v>
          </cell>
          <cell r="H1055">
            <v>1784</v>
          </cell>
          <cell r="I1055">
            <v>771</v>
          </cell>
          <cell r="J1055">
            <v>7390085</v>
          </cell>
          <cell r="K1055">
            <v>2155785</v>
          </cell>
          <cell r="L1055">
            <v>0</v>
          </cell>
          <cell r="M1055">
            <v>0</v>
          </cell>
          <cell r="N1055">
            <v>4780</v>
          </cell>
          <cell r="O1055">
            <v>0</v>
          </cell>
          <cell r="P1055">
            <v>0</v>
          </cell>
          <cell r="Q1055">
            <v>0</v>
          </cell>
          <cell r="R1055">
            <v>10023507</v>
          </cell>
        </row>
        <row r="1056">
          <cell r="B1056">
            <v>71</v>
          </cell>
          <cell r="C1056" t="str">
            <v>PLATTE</v>
          </cell>
          <cell r="D1056" t="str">
            <v>CITY OR VILLAGE</v>
          </cell>
          <cell r="E1056">
            <v>351</v>
          </cell>
          <cell r="F1056" t="str">
            <v>DUNCAN</v>
          </cell>
          <cell r="G1056">
            <v>81657</v>
          </cell>
          <cell r="H1056">
            <v>404138</v>
          </cell>
          <cell r="I1056">
            <v>2102376</v>
          </cell>
          <cell r="J1056">
            <v>21166240</v>
          </cell>
          <cell r="K1056">
            <v>4061580</v>
          </cell>
          <cell r="L1056">
            <v>886270</v>
          </cell>
          <cell r="M1056">
            <v>0</v>
          </cell>
          <cell r="N1056">
            <v>133535</v>
          </cell>
          <cell r="O1056">
            <v>0</v>
          </cell>
          <cell r="P1056">
            <v>148785</v>
          </cell>
          <cell r="Q1056">
            <v>0</v>
          </cell>
          <cell r="R1056">
            <v>28984581</v>
          </cell>
        </row>
        <row r="1057">
          <cell r="B1057">
            <v>71</v>
          </cell>
          <cell r="C1057" t="str">
            <v>PLATTE</v>
          </cell>
          <cell r="D1057" t="str">
            <v>CITY OR VILLAGE</v>
          </cell>
          <cell r="E1057">
            <v>760</v>
          </cell>
          <cell r="F1057" t="str">
            <v>HUMPHREY</v>
          </cell>
          <cell r="G1057">
            <v>961907</v>
          </cell>
          <cell r="H1057">
            <v>412907</v>
          </cell>
          <cell r="I1057">
            <v>1015230</v>
          </cell>
          <cell r="J1057">
            <v>69290205</v>
          </cell>
          <cell r="K1057">
            <v>4308510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75988759</v>
          </cell>
        </row>
        <row r="1058">
          <cell r="B1058">
            <v>71</v>
          </cell>
          <cell r="C1058" t="str">
            <v>PLATTE</v>
          </cell>
          <cell r="D1058" t="str">
            <v>CITY OR VILLAGE</v>
          </cell>
          <cell r="E1058">
            <v>255</v>
          </cell>
          <cell r="F1058" t="str">
            <v>LINDSAY</v>
          </cell>
          <cell r="G1058">
            <v>7165799</v>
          </cell>
          <cell r="H1058">
            <v>149751</v>
          </cell>
          <cell r="I1058">
            <v>16936</v>
          </cell>
          <cell r="J1058">
            <v>15869325</v>
          </cell>
          <cell r="K1058">
            <v>8415145</v>
          </cell>
          <cell r="L1058">
            <v>4232950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35849906</v>
          </cell>
        </row>
        <row r="1059">
          <cell r="B1059">
            <v>71</v>
          </cell>
          <cell r="C1059" t="str">
            <v>PLATTE</v>
          </cell>
          <cell r="D1059" t="str">
            <v>CITY OR VILLAGE</v>
          </cell>
          <cell r="E1059">
            <v>284</v>
          </cell>
          <cell r="F1059" t="str">
            <v>MONROE</v>
          </cell>
          <cell r="G1059">
            <v>3975093</v>
          </cell>
          <cell r="H1059">
            <v>172568</v>
          </cell>
          <cell r="I1059">
            <v>600258</v>
          </cell>
          <cell r="J1059">
            <v>8939235</v>
          </cell>
          <cell r="K1059">
            <v>10866220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24553374</v>
          </cell>
        </row>
        <row r="1060">
          <cell r="B1060">
            <v>71</v>
          </cell>
          <cell r="C1060" t="str">
            <v>PLATTE</v>
          </cell>
          <cell r="D1060" t="str">
            <v>CITY OR VILLAGE</v>
          </cell>
          <cell r="E1060">
            <v>721</v>
          </cell>
          <cell r="F1060" t="str">
            <v>NEWMAN GROVE</v>
          </cell>
          <cell r="G1060">
            <v>98</v>
          </cell>
          <cell r="H1060">
            <v>2699</v>
          </cell>
          <cell r="I1060">
            <v>326</v>
          </cell>
          <cell r="J1060">
            <v>370575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373698</v>
          </cell>
        </row>
        <row r="1061">
          <cell r="B1061">
            <v>71</v>
          </cell>
          <cell r="C1061" t="str">
            <v>PLATTE</v>
          </cell>
          <cell r="D1061" t="str">
            <v>CITY OR VILLAGE</v>
          </cell>
          <cell r="E1061">
            <v>336</v>
          </cell>
          <cell r="F1061" t="str">
            <v>PLATTE CENTER</v>
          </cell>
          <cell r="G1061">
            <v>378589</v>
          </cell>
          <cell r="H1061">
            <v>138619</v>
          </cell>
          <cell r="I1061">
            <v>613738</v>
          </cell>
          <cell r="J1061">
            <v>16396055</v>
          </cell>
          <cell r="K1061">
            <v>1934060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35730</v>
          </cell>
          <cell r="Q1061">
            <v>0</v>
          </cell>
          <cell r="R1061">
            <v>19496791</v>
          </cell>
        </row>
        <row r="1062">
          <cell r="B1062">
            <v>71</v>
          </cell>
          <cell r="C1062" t="str">
            <v>PLATTE</v>
          </cell>
          <cell r="D1062" t="str">
            <v>CITY OR VILLAGE</v>
          </cell>
          <cell r="E1062">
            <v>46</v>
          </cell>
          <cell r="F1062" t="str">
            <v>TARNOV</v>
          </cell>
          <cell r="G1062">
            <v>7325</v>
          </cell>
          <cell r="H1062">
            <v>24580</v>
          </cell>
          <cell r="I1062">
            <v>177819</v>
          </cell>
          <cell r="J1062">
            <v>1491545</v>
          </cell>
          <cell r="K1062">
            <v>140085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1841354</v>
          </cell>
        </row>
        <row r="1063">
          <cell r="B1063">
            <v>71</v>
          </cell>
          <cell r="C1063" t="str">
            <v>PLATTE</v>
          </cell>
          <cell r="D1063" t="str">
            <v>CITY OR VILLAGE</v>
          </cell>
        </row>
        <row r="1064">
          <cell r="B1064">
            <v>71</v>
          </cell>
          <cell r="C1064" t="str">
            <v>PLATTE</v>
          </cell>
          <cell r="D1064" t="str">
            <v>CITY OR VILLAGE</v>
          </cell>
        </row>
        <row r="1065">
          <cell r="B1065">
            <v>71</v>
          </cell>
          <cell r="C1065" t="str">
            <v>PLATTE</v>
          </cell>
          <cell r="D1065" t="str">
            <v>CITY OR VILLAGE</v>
          </cell>
        </row>
        <row r="1066">
          <cell r="B1066">
            <v>71</v>
          </cell>
          <cell r="C1066" t="str">
            <v>PLATTE</v>
          </cell>
          <cell r="D1066" t="str">
            <v>CITY OR VILLAGE</v>
          </cell>
        </row>
        <row r="1067">
          <cell r="B1067">
            <v>71</v>
          </cell>
          <cell r="C1067" t="str">
            <v>PLATTE</v>
          </cell>
          <cell r="D1067" t="str">
            <v>CITY OR VILLAGE</v>
          </cell>
        </row>
        <row r="1068">
          <cell r="B1068">
            <v>72</v>
          </cell>
          <cell r="C1068" t="str">
            <v>POLK</v>
          </cell>
          <cell r="D1068" t="str">
            <v>CITY OR VILLAGE</v>
          </cell>
          <cell r="E1068">
            <v>880</v>
          </cell>
          <cell r="F1068" t="str">
            <v>OSCEOLA</v>
          </cell>
          <cell r="G1068">
            <v>1574501</v>
          </cell>
          <cell r="H1068">
            <v>608571</v>
          </cell>
          <cell r="I1068">
            <v>1000471</v>
          </cell>
          <cell r="J1068">
            <v>27649565</v>
          </cell>
          <cell r="K1068">
            <v>5116211</v>
          </cell>
          <cell r="L1068">
            <v>287335</v>
          </cell>
          <cell r="M1068">
            <v>0</v>
          </cell>
          <cell r="N1068">
            <v>207664</v>
          </cell>
          <cell r="O1068">
            <v>0</v>
          </cell>
          <cell r="P1068">
            <v>1020</v>
          </cell>
          <cell r="Q1068">
            <v>0</v>
          </cell>
          <cell r="R1068">
            <v>36445338</v>
          </cell>
        </row>
        <row r="1069">
          <cell r="B1069">
            <v>72</v>
          </cell>
          <cell r="C1069" t="str">
            <v>POLK</v>
          </cell>
          <cell r="D1069" t="str">
            <v>CITY OR VILLAGE</v>
          </cell>
          <cell r="E1069">
            <v>322</v>
          </cell>
          <cell r="F1069" t="str">
            <v>POLK</v>
          </cell>
          <cell r="G1069">
            <v>889019</v>
          </cell>
          <cell r="H1069">
            <v>351674</v>
          </cell>
          <cell r="I1069">
            <v>933977</v>
          </cell>
          <cell r="J1069">
            <v>7322661</v>
          </cell>
          <cell r="K1069">
            <v>3225581</v>
          </cell>
          <cell r="L1069">
            <v>0</v>
          </cell>
          <cell r="M1069">
            <v>0</v>
          </cell>
          <cell r="N1069">
            <v>177813</v>
          </cell>
          <cell r="O1069">
            <v>0</v>
          </cell>
          <cell r="P1069">
            <v>0</v>
          </cell>
          <cell r="Q1069">
            <v>0</v>
          </cell>
          <cell r="R1069">
            <v>12900725</v>
          </cell>
        </row>
        <row r="1070">
          <cell r="B1070">
            <v>72</v>
          </cell>
          <cell r="C1070" t="str">
            <v>POLK</v>
          </cell>
          <cell r="D1070" t="str">
            <v>CITY OR VILLAGE</v>
          </cell>
          <cell r="E1070">
            <v>714</v>
          </cell>
          <cell r="F1070" t="str">
            <v>SHELBY</v>
          </cell>
          <cell r="G1070">
            <v>2157150</v>
          </cell>
          <cell r="H1070">
            <v>392940</v>
          </cell>
          <cell r="I1070">
            <v>678007</v>
          </cell>
          <cell r="J1070">
            <v>24642448</v>
          </cell>
          <cell r="K1070">
            <v>7211143</v>
          </cell>
          <cell r="L1070">
            <v>0</v>
          </cell>
          <cell r="M1070">
            <v>0</v>
          </cell>
          <cell r="N1070">
            <v>76410</v>
          </cell>
          <cell r="O1070">
            <v>0</v>
          </cell>
          <cell r="P1070">
            <v>0</v>
          </cell>
          <cell r="Q1070">
            <v>0</v>
          </cell>
          <cell r="R1070">
            <v>35158098</v>
          </cell>
        </row>
        <row r="1071">
          <cell r="B1071">
            <v>72</v>
          </cell>
          <cell r="C1071" t="str">
            <v>POLK</v>
          </cell>
          <cell r="D1071" t="str">
            <v>CITY OR VILLAGE</v>
          </cell>
          <cell r="E1071">
            <v>1171</v>
          </cell>
          <cell r="F1071" t="str">
            <v>STROMSBURG</v>
          </cell>
          <cell r="G1071">
            <v>1779004</v>
          </cell>
          <cell r="H1071">
            <v>441073</v>
          </cell>
          <cell r="I1071">
            <v>1210240</v>
          </cell>
          <cell r="J1071">
            <v>45561283</v>
          </cell>
          <cell r="K1071">
            <v>6239753</v>
          </cell>
          <cell r="L1071">
            <v>0</v>
          </cell>
          <cell r="M1071">
            <v>0</v>
          </cell>
          <cell r="N1071">
            <v>6262</v>
          </cell>
          <cell r="O1071">
            <v>0</v>
          </cell>
          <cell r="P1071">
            <v>0</v>
          </cell>
          <cell r="Q1071">
            <v>0</v>
          </cell>
          <cell r="R1071">
            <v>55237615</v>
          </cell>
        </row>
        <row r="1072">
          <cell r="B1072">
            <v>72</v>
          </cell>
          <cell r="C1072" t="str">
            <v>POLK</v>
          </cell>
          <cell r="D1072" t="str">
            <v>CITY OR VILLAGE</v>
          </cell>
        </row>
        <row r="1073">
          <cell r="B1073">
            <v>72</v>
          </cell>
          <cell r="C1073" t="str">
            <v>POLK</v>
          </cell>
          <cell r="D1073" t="str">
            <v>CITY OR VILLAGE</v>
          </cell>
        </row>
        <row r="1074">
          <cell r="B1074">
            <v>72</v>
          </cell>
          <cell r="C1074" t="str">
            <v>POLK</v>
          </cell>
          <cell r="D1074" t="str">
            <v>CITY OR VILLAGE</v>
          </cell>
        </row>
        <row r="1075">
          <cell r="B1075">
            <v>72</v>
          </cell>
          <cell r="C1075" t="str">
            <v>POLK</v>
          </cell>
          <cell r="D1075" t="str">
            <v>CITY OR VILLAGE</v>
          </cell>
        </row>
        <row r="1076">
          <cell r="B1076">
            <v>72</v>
          </cell>
          <cell r="C1076" t="str">
            <v>POLK</v>
          </cell>
          <cell r="D1076" t="str">
            <v>CITY OR VILLAGE</v>
          </cell>
        </row>
        <row r="1077">
          <cell r="B1077">
            <v>72</v>
          </cell>
          <cell r="C1077" t="str">
            <v>POLK</v>
          </cell>
          <cell r="D1077" t="str">
            <v>CITY OR VILLAGE</v>
          </cell>
        </row>
        <row r="1078">
          <cell r="B1078">
            <v>72</v>
          </cell>
          <cell r="C1078" t="str">
            <v>POLK</v>
          </cell>
          <cell r="D1078" t="str">
            <v>CITY OR VILLAGE</v>
          </cell>
        </row>
        <row r="1079">
          <cell r="B1079">
            <v>72</v>
          </cell>
          <cell r="C1079" t="str">
            <v>POLK</v>
          </cell>
          <cell r="D1079" t="str">
            <v>CITY OR VILLAGE</v>
          </cell>
        </row>
        <row r="1080">
          <cell r="B1080">
            <v>72</v>
          </cell>
          <cell r="C1080" t="str">
            <v>POLK</v>
          </cell>
          <cell r="D1080" t="str">
            <v>CITY OR VILLAGE</v>
          </cell>
        </row>
        <row r="1081">
          <cell r="B1081">
            <v>72</v>
          </cell>
          <cell r="C1081" t="str">
            <v>POLK</v>
          </cell>
          <cell r="D1081" t="str">
            <v>CITY OR VILLAGE</v>
          </cell>
        </row>
        <row r="1082">
          <cell r="B1082">
            <v>72</v>
          </cell>
          <cell r="C1082" t="str">
            <v>POLK</v>
          </cell>
          <cell r="D1082" t="str">
            <v>CITY OR VILLAGE</v>
          </cell>
        </row>
        <row r="1083">
          <cell r="B1083">
            <v>73</v>
          </cell>
          <cell r="C1083" t="str">
            <v>RED WILLOW</v>
          </cell>
          <cell r="D1083" t="str">
            <v>CITY OR VILLAGE</v>
          </cell>
          <cell r="E1083">
            <v>283</v>
          </cell>
          <cell r="F1083" t="str">
            <v>BARTLEY</v>
          </cell>
          <cell r="G1083">
            <v>971255</v>
          </cell>
          <cell r="H1083">
            <v>448155</v>
          </cell>
          <cell r="I1083">
            <v>1093363</v>
          </cell>
          <cell r="J1083">
            <v>8140233</v>
          </cell>
          <cell r="K1083">
            <v>3264046</v>
          </cell>
          <cell r="L1083">
            <v>0</v>
          </cell>
          <cell r="M1083">
            <v>0</v>
          </cell>
          <cell r="N1083">
            <v>184691</v>
          </cell>
          <cell r="O1083">
            <v>3640</v>
          </cell>
          <cell r="P1083">
            <v>0</v>
          </cell>
          <cell r="Q1083">
            <v>0</v>
          </cell>
          <cell r="R1083">
            <v>14105383</v>
          </cell>
        </row>
        <row r="1084">
          <cell r="B1084">
            <v>73</v>
          </cell>
          <cell r="C1084" t="str">
            <v>RED WILLOW</v>
          </cell>
          <cell r="D1084" t="str">
            <v>CITY OR VILLAGE</v>
          </cell>
          <cell r="E1084">
            <v>101</v>
          </cell>
          <cell r="F1084" t="str">
            <v>DANBURY</v>
          </cell>
          <cell r="G1084">
            <v>27161</v>
          </cell>
          <cell r="H1084">
            <v>113603</v>
          </cell>
          <cell r="I1084">
            <v>43508</v>
          </cell>
          <cell r="J1084">
            <v>1621588</v>
          </cell>
          <cell r="K1084">
            <v>1202836</v>
          </cell>
          <cell r="L1084">
            <v>0</v>
          </cell>
          <cell r="M1084">
            <v>0</v>
          </cell>
          <cell r="N1084">
            <v>17666</v>
          </cell>
          <cell r="O1084">
            <v>0</v>
          </cell>
          <cell r="P1084">
            <v>0</v>
          </cell>
          <cell r="Q1084">
            <v>0</v>
          </cell>
          <cell r="R1084">
            <v>3026362</v>
          </cell>
        </row>
        <row r="1085">
          <cell r="B1085">
            <v>73</v>
          </cell>
          <cell r="C1085" t="str">
            <v>RED WILLOW</v>
          </cell>
          <cell r="D1085" t="str">
            <v>CITY OR VILLAGE</v>
          </cell>
          <cell r="E1085">
            <v>584</v>
          </cell>
          <cell r="F1085" t="str">
            <v>INDIANOLA</v>
          </cell>
          <cell r="G1085">
            <v>490134</v>
          </cell>
          <cell r="H1085">
            <v>1181802</v>
          </cell>
          <cell r="I1085">
            <v>1615738</v>
          </cell>
          <cell r="J1085">
            <v>19197773</v>
          </cell>
          <cell r="K1085">
            <v>3129405</v>
          </cell>
          <cell r="L1085">
            <v>0</v>
          </cell>
          <cell r="M1085">
            <v>0</v>
          </cell>
          <cell r="N1085">
            <v>532085</v>
          </cell>
          <cell r="O1085">
            <v>0</v>
          </cell>
          <cell r="P1085">
            <v>691</v>
          </cell>
          <cell r="Q1085">
            <v>0</v>
          </cell>
          <cell r="R1085">
            <v>26147628</v>
          </cell>
        </row>
        <row r="1086">
          <cell r="B1086">
            <v>73</v>
          </cell>
          <cell r="C1086" t="str">
            <v>RED WILLOW</v>
          </cell>
          <cell r="D1086" t="str">
            <v>CITY OR VILLAGE</v>
          </cell>
          <cell r="E1086">
            <v>80</v>
          </cell>
          <cell r="F1086" t="str">
            <v>LEBANON</v>
          </cell>
          <cell r="G1086">
            <v>29879</v>
          </cell>
          <cell r="H1086">
            <v>48066</v>
          </cell>
          <cell r="I1086">
            <v>22755</v>
          </cell>
          <cell r="J1086">
            <v>867993</v>
          </cell>
          <cell r="K1086">
            <v>35463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1004156</v>
          </cell>
        </row>
        <row r="1087">
          <cell r="B1087">
            <v>73</v>
          </cell>
          <cell r="C1087" t="str">
            <v>RED WILLOW</v>
          </cell>
          <cell r="D1087" t="str">
            <v>CITY OR VILLAGE</v>
          </cell>
          <cell r="E1087">
            <v>7698</v>
          </cell>
          <cell r="F1087" t="str">
            <v>MCCOOK</v>
          </cell>
          <cell r="G1087">
            <v>20163987</v>
          </cell>
          <cell r="H1087">
            <v>6155053</v>
          </cell>
          <cell r="I1087">
            <v>7108193</v>
          </cell>
          <cell r="J1087">
            <v>273352810</v>
          </cell>
          <cell r="K1087">
            <v>128114347</v>
          </cell>
          <cell r="L1087">
            <v>0</v>
          </cell>
          <cell r="M1087">
            <v>0</v>
          </cell>
          <cell r="N1087">
            <v>3621</v>
          </cell>
          <cell r="O1087">
            <v>0</v>
          </cell>
          <cell r="P1087">
            <v>0</v>
          </cell>
          <cell r="Q1087">
            <v>0</v>
          </cell>
          <cell r="R1087">
            <v>434898011</v>
          </cell>
        </row>
        <row r="1088">
          <cell r="B1088">
            <v>73</v>
          </cell>
          <cell r="C1088" t="str">
            <v>RED WILLOW</v>
          </cell>
          <cell r="D1088" t="str">
            <v>CITY OR VILLAGE</v>
          </cell>
        </row>
        <row r="1089">
          <cell r="B1089">
            <v>73</v>
          </cell>
          <cell r="C1089" t="str">
            <v>RED WILLOW</v>
          </cell>
          <cell r="D1089" t="str">
            <v>CITY OR VILLAGE</v>
          </cell>
        </row>
        <row r="1090">
          <cell r="B1090">
            <v>73</v>
          </cell>
          <cell r="C1090" t="str">
            <v>RED WILLOW</v>
          </cell>
          <cell r="D1090" t="str">
            <v>CITY OR VILLAGE</v>
          </cell>
        </row>
        <row r="1091">
          <cell r="B1091">
            <v>73</v>
          </cell>
          <cell r="C1091" t="str">
            <v>RED WILLOW</v>
          </cell>
          <cell r="D1091" t="str">
            <v>CITY OR VILLAGE</v>
          </cell>
        </row>
        <row r="1092">
          <cell r="B1092">
            <v>73</v>
          </cell>
          <cell r="C1092" t="str">
            <v>RED WILLOW</v>
          </cell>
          <cell r="D1092" t="str">
            <v>CITY OR VILLAGE</v>
          </cell>
        </row>
        <row r="1093">
          <cell r="B1093">
            <v>73</v>
          </cell>
          <cell r="C1093" t="str">
            <v>RED WILLOW</v>
          </cell>
          <cell r="D1093" t="str">
            <v>CITY OR VILLAGE</v>
          </cell>
        </row>
        <row r="1094">
          <cell r="B1094">
            <v>73</v>
          </cell>
          <cell r="C1094" t="str">
            <v>RED WILLOW</v>
          </cell>
          <cell r="D1094" t="str">
            <v>CITY OR VILLAGE</v>
          </cell>
        </row>
        <row r="1095">
          <cell r="B1095">
            <v>73</v>
          </cell>
          <cell r="C1095" t="str">
            <v>RED WILLOW</v>
          </cell>
          <cell r="D1095" t="str">
            <v>CITY OR VILLAGE</v>
          </cell>
        </row>
        <row r="1096">
          <cell r="B1096">
            <v>73</v>
          </cell>
          <cell r="C1096" t="str">
            <v>RED WILLOW</v>
          </cell>
          <cell r="D1096" t="str">
            <v>CITY OR VILLAGE</v>
          </cell>
        </row>
        <row r="1097">
          <cell r="B1097">
            <v>73</v>
          </cell>
          <cell r="C1097" t="str">
            <v>RED WILLOW</v>
          </cell>
          <cell r="D1097" t="str">
            <v>CITY OR VILLAGE</v>
          </cell>
        </row>
        <row r="1098">
          <cell r="B1098">
            <v>74</v>
          </cell>
          <cell r="C1098" t="str">
            <v>RICHARDSON</v>
          </cell>
          <cell r="D1098" t="str">
            <v>CITY OR VILLAGE</v>
          </cell>
          <cell r="E1098">
            <v>24</v>
          </cell>
          <cell r="F1098" t="str">
            <v>BARADA</v>
          </cell>
          <cell r="G1098">
            <v>130</v>
          </cell>
          <cell r="H1098">
            <v>3148</v>
          </cell>
          <cell r="I1098">
            <v>311</v>
          </cell>
          <cell r="J1098">
            <v>429993</v>
          </cell>
          <cell r="K1098">
            <v>9367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442949</v>
          </cell>
        </row>
        <row r="1099">
          <cell r="B1099">
            <v>74</v>
          </cell>
          <cell r="C1099" t="str">
            <v>RICHARDSON</v>
          </cell>
          <cell r="D1099" t="str">
            <v>CITY OR VILLAGE</v>
          </cell>
          <cell r="E1099">
            <v>146</v>
          </cell>
          <cell r="F1099" t="str">
            <v>DAWSON</v>
          </cell>
          <cell r="G1099">
            <v>60027</v>
          </cell>
          <cell r="H1099">
            <v>154859</v>
          </cell>
          <cell r="I1099">
            <v>413399</v>
          </cell>
          <cell r="J1099">
            <v>2070257</v>
          </cell>
          <cell r="K1099">
            <v>453428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3151970</v>
          </cell>
        </row>
        <row r="1100">
          <cell r="B1100">
            <v>74</v>
          </cell>
          <cell r="C1100" t="str">
            <v>RICHARDSON</v>
          </cell>
          <cell r="D1100" t="str">
            <v>CITY OR VILLAGE</v>
          </cell>
          <cell r="E1100">
            <v>4325</v>
          </cell>
          <cell r="F1100" t="str">
            <v>FALLS CITY</v>
          </cell>
          <cell r="G1100">
            <v>9898726</v>
          </cell>
          <cell r="H1100">
            <v>3328318</v>
          </cell>
          <cell r="I1100">
            <v>2694283</v>
          </cell>
          <cell r="J1100">
            <v>115332463</v>
          </cell>
          <cell r="K1100">
            <v>23075111</v>
          </cell>
          <cell r="L1100">
            <v>6519928</v>
          </cell>
          <cell r="M1100">
            <v>0</v>
          </cell>
          <cell r="N1100">
            <v>60423</v>
          </cell>
          <cell r="O1100">
            <v>29564</v>
          </cell>
          <cell r="P1100">
            <v>48257</v>
          </cell>
          <cell r="Q1100">
            <v>0</v>
          </cell>
          <cell r="R1100">
            <v>160987073</v>
          </cell>
        </row>
        <row r="1101">
          <cell r="B1101">
            <v>74</v>
          </cell>
          <cell r="C1101" t="str">
            <v>RICHARDSON</v>
          </cell>
          <cell r="D1101" t="str">
            <v>CITY OR VILLAGE</v>
          </cell>
          <cell r="E1101">
            <v>877</v>
          </cell>
          <cell r="F1101" t="str">
            <v>HUMBOLDT</v>
          </cell>
          <cell r="G1101">
            <v>507455</v>
          </cell>
          <cell r="H1101">
            <v>837603</v>
          </cell>
          <cell r="I1101">
            <v>1439357</v>
          </cell>
          <cell r="J1101">
            <v>14737474</v>
          </cell>
          <cell r="K1101">
            <v>3742431</v>
          </cell>
          <cell r="L1101">
            <v>100670</v>
          </cell>
          <cell r="M1101">
            <v>0</v>
          </cell>
          <cell r="N1101">
            <v>0</v>
          </cell>
          <cell r="O1101">
            <v>0</v>
          </cell>
          <cell r="P1101">
            <v>12900</v>
          </cell>
          <cell r="Q1101">
            <v>0</v>
          </cell>
          <cell r="R1101">
            <v>21377890</v>
          </cell>
        </row>
        <row r="1102">
          <cell r="B1102">
            <v>74</v>
          </cell>
          <cell r="C1102" t="str">
            <v>RICHARDSON</v>
          </cell>
          <cell r="D1102" t="str">
            <v>CITY OR VILLAGE</v>
          </cell>
          <cell r="E1102">
            <v>28</v>
          </cell>
          <cell r="F1102" t="str">
            <v>PRESTON</v>
          </cell>
          <cell r="G1102">
            <v>150</v>
          </cell>
          <cell r="H1102">
            <v>0</v>
          </cell>
          <cell r="I1102">
            <v>0</v>
          </cell>
          <cell r="J1102">
            <v>562303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562453</v>
          </cell>
        </row>
        <row r="1103">
          <cell r="B1103">
            <v>74</v>
          </cell>
          <cell r="C1103" t="str">
            <v>RICHARDSON</v>
          </cell>
          <cell r="D1103" t="str">
            <v>CITY OR VILLAGE</v>
          </cell>
          <cell r="E1103">
            <v>172</v>
          </cell>
          <cell r="F1103" t="str">
            <v>RULO</v>
          </cell>
          <cell r="G1103">
            <v>150945</v>
          </cell>
          <cell r="H1103">
            <v>319444</v>
          </cell>
          <cell r="I1103">
            <v>1135049</v>
          </cell>
          <cell r="J1103">
            <v>2539183</v>
          </cell>
          <cell r="K1103">
            <v>577956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1025</v>
          </cell>
          <cell r="Q1103">
            <v>0</v>
          </cell>
          <cell r="R1103">
            <v>4723602</v>
          </cell>
        </row>
        <row r="1104">
          <cell r="B1104">
            <v>74</v>
          </cell>
          <cell r="C1104" t="str">
            <v>RICHARDSON</v>
          </cell>
          <cell r="D1104" t="str">
            <v>CITY OR VILLAGE</v>
          </cell>
          <cell r="E1104">
            <v>112</v>
          </cell>
          <cell r="F1104" t="str">
            <v>SALEM</v>
          </cell>
          <cell r="G1104">
            <v>6782</v>
          </cell>
          <cell r="H1104">
            <v>74140</v>
          </cell>
          <cell r="I1104">
            <v>7336</v>
          </cell>
          <cell r="J1104">
            <v>1369188</v>
          </cell>
          <cell r="K1104">
            <v>35708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1493154</v>
          </cell>
        </row>
        <row r="1105">
          <cell r="B1105">
            <v>74</v>
          </cell>
          <cell r="C1105" t="str">
            <v>RICHARDSON</v>
          </cell>
          <cell r="D1105" t="str">
            <v>CITY OR VILLAGE</v>
          </cell>
          <cell r="E1105">
            <v>150</v>
          </cell>
          <cell r="F1105" t="str">
            <v>SHUBERT</v>
          </cell>
          <cell r="G1105">
            <v>5455</v>
          </cell>
          <cell r="H1105">
            <v>48991</v>
          </cell>
          <cell r="I1105">
            <v>4848</v>
          </cell>
          <cell r="J1105">
            <v>3198521</v>
          </cell>
          <cell r="K1105">
            <v>163757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3421572</v>
          </cell>
        </row>
        <row r="1106">
          <cell r="B1106">
            <v>74</v>
          </cell>
          <cell r="C1106" t="str">
            <v>RICHARDSON</v>
          </cell>
          <cell r="D1106" t="str">
            <v>CITY OR VILLAGE</v>
          </cell>
          <cell r="E1106">
            <v>152</v>
          </cell>
          <cell r="F1106" t="str">
            <v>STELLA</v>
          </cell>
          <cell r="G1106">
            <v>8959</v>
          </cell>
          <cell r="H1106">
            <v>159608</v>
          </cell>
          <cell r="I1106">
            <v>318686</v>
          </cell>
          <cell r="J1106">
            <v>3028408</v>
          </cell>
          <cell r="K1106">
            <v>817579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4333240</v>
          </cell>
        </row>
        <row r="1107">
          <cell r="B1107">
            <v>74</v>
          </cell>
          <cell r="C1107" t="str">
            <v>RICHARDSON</v>
          </cell>
          <cell r="D1107" t="str">
            <v>CITY OR VILLAGE</v>
          </cell>
          <cell r="E1107">
            <v>172</v>
          </cell>
          <cell r="F1107" t="str">
            <v>VERDON</v>
          </cell>
          <cell r="G1107">
            <v>752379</v>
          </cell>
          <cell r="H1107">
            <v>162872</v>
          </cell>
          <cell r="I1107">
            <v>556159</v>
          </cell>
          <cell r="J1107">
            <v>2851494</v>
          </cell>
          <cell r="K1107">
            <v>479801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4802705</v>
          </cell>
        </row>
        <row r="1108">
          <cell r="B1108">
            <v>74</v>
          </cell>
          <cell r="C1108" t="str">
            <v>RICHARDSON</v>
          </cell>
          <cell r="D1108" t="str">
            <v>CITY OR VILLAGE</v>
          </cell>
        </row>
        <row r="1109">
          <cell r="B1109">
            <v>74</v>
          </cell>
          <cell r="C1109" t="str">
            <v>RICHARDSON</v>
          </cell>
          <cell r="D1109" t="str">
            <v>CITY OR VILLAGE</v>
          </cell>
        </row>
        <row r="1110">
          <cell r="B1110">
            <v>74</v>
          </cell>
          <cell r="C1110" t="str">
            <v>RICHARDSON</v>
          </cell>
          <cell r="D1110" t="str">
            <v>CITY OR VILLAGE</v>
          </cell>
        </row>
        <row r="1111">
          <cell r="B1111">
            <v>74</v>
          </cell>
          <cell r="C1111" t="str">
            <v>RICHARDSON</v>
          </cell>
          <cell r="D1111" t="str">
            <v>CITY OR VILLAGE</v>
          </cell>
        </row>
        <row r="1112">
          <cell r="B1112">
            <v>74</v>
          </cell>
          <cell r="C1112" t="str">
            <v>RICHARDSON</v>
          </cell>
          <cell r="D1112" t="str">
            <v>CITY OR VILLAGE</v>
          </cell>
        </row>
        <row r="1113">
          <cell r="B1113">
            <v>75</v>
          </cell>
          <cell r="C1113" t="str">
            <v>ROCK</v>
          </cell>
          <cell r="D1113" t="str">
            <v>CITY OR VILLAGE</v>
          </cell>
          <cell r="E1113">
            <v>619</v>
          </cell>
          <cell r="F1113" t="str">
            <v>BASSETT</v>
          </cell>
          <cell r="G1113">
            <v>1246865</v>
          </cell>
          <cell r="H1113">
            <v>441926</v>
          </cell>
          <cell r="I1113">
            <v>47941</v>
          </cell>
          <cell r="J1113">
            <v>15933585</v>
          </cell>
          <cell r="K1113">
            <v>5725950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23396267</v>
          </cell>
        </row>
        <row r="1114">
          <cell r="B1114">
            <v>75</v>
          </cell>
          <cell r="C1114" t="str">
            <v>ROCK</v>
          </cell>
          <cell r="D1114" t="str">
            <v>CITY OR VILLAGE</v>
          </cell>
          <cell r="E1114">
            <v>97</v>
          </cell>
          <cell r="F1114" t="str">
            <v>NEWPORT</v>
          </cell>
          <cell r="G1114">
            <v>281564</v>
          </cell>
          <cell r="H1114">
            <v>48769</v>
          </cell>
          <cell r="I1114">
            <v>4418</v>
          </cell>
          <cell r="J1114">
            <v>1477295</v>
          </cell>
          <cell r="K1114">
            <v>296075</v>
          </cell>
          <cell r="L1114">
            <v>0</v>
          </cell>
          <cell r="M1114">
            <v>0</v>
          </cell>
          <cell r="N1114">
            <v>11670</v>
          </cell>
          <cell r="O1114">
            <v>0</v>
          </cell>
          <cell r="P1114">
            <v>0</v>
          </cell>
          <cell r="Q1114">
            <v>0</v>
          </cell>
          <cell r="R1114">
            <v>2119791</v>
          </cell>
        </row>
        <row r="1115">
          <cell r="B1115">
            <v>75</v>
          </cell>
          <cell r="C1115" t="str">
            <v>ROCK</v>
          </cell>
          <cell r="D1115" t="str">
            <v>CITY OR VILLAGE</v>
          </cell>
        </row>
        <row r="1116">
          <cell r="B1116">
            <v>75</v>
          </cell>
          <cell r="C1116" t="str">
            <v>ROCK</v>
          </cell>
          <cell r="D1116" t="str">
            <v>CITY OR VILLAGE</v>
          </cell>
        </row>
        <row r="1117">
          <cell r="B1117">
            <v>75</v>
          </cell>
          <cell r="C1117" t="str">
            <v>ROCK</v>
          </cell>
          <cell r="D1117" t="str">
            <v>CITY OR VILLAGE</v>
          </cell>
        </row>
        <row r="1118">
          <cell r="B1118">
            <v>75</v>
          </cell>
          <cell r="C1118" t="str">
            <v>ROCK</v>
          </cell>
          <cell r="D1118" t="str">
            <v>CITY OR VILLAGE</v>
          </cell>
        </row>
        <row r="1119">
          <cell r="B1119">
            <v>75</v>
          </cell>
          <cell r="C1119" t="str">
            <v>ROCK</v>
          </cell>
          <cell r="D1119" t="str">
            <v>CITY OR VILLAGE</v>
          </cell>
        </row>
        <row r="1120">
          <cell r="B1120">
            <v>75</v>
          </cell>
          <cell r="C1120" t="str">
            <v>ROCK</v>
          </cell>
          <cell r="D1120" t="str">
            <v>CITY OR VILLAGE</v>
          </cell>
        </row>
        <row r="1121">
          <cell r="B1121">
            <v>75</v>
          </cell>
          <cell r="C1121" t="str">
            <v>ROCK</v>
          </cell>
          <cell r="D1121" t="str">
            <v>CITY OR VILLAGE</v>
          </cell>
        </row>
        <row r="1122">
          <cell r="B1122">
            <v>75</v>
          </cell>
          <cell r="C1122" t="str">
            <v>ROCK</v>
          </cell>
          <cell r="D1122" t="str">
            <v>CITY OR VILLAGE</v>
          </cell>
        </row>
        <row r="1123">
          <cell r="B1123">
            <v>75</v>
          </cell>
          <cell r="C1123" t="str">
            <v>ROCK</v>
          </cell>
          <cell r="D1123" t="str">
            <v>CITY OR VILLAGE</v>
          </cell>
        </row>
        <row r="1124">
          <cell r="B1124">
            <v>75</v>
          </cell>
          <cell r="C1124" t="str">
            <v>ROCK</v>
          </cell>
          <cell r="D1124" t="str">
            <v>CITY OR VILLAGE</v>
          </cell>
        </row>
        <row r="1125">
          <cell r="B1125">
            <v>75</v>
          </cell>
          <cell r="C1125" t="str">
            <v>ROCK</v>
          </cell>
          <cell r="D1125" t="str">
            <v>CITY OR VILLAGE</v>
          </cell>
        </row>
        <row r="1126">
          <cell r="B1126">
            <v>75</v>
          </cell>
          <cell r="C1126" t="str">
            <v>ROCK</v>
          </cell>
          <cell r="D1126" t="str">
            <v>CITY OR VILLAGE</v>
          </cell>
        </row>
        <row r="1127">
          <cell r="B1127">
            <v>75</v>
          </cell>
          <cell r="C1127" t="str">
            <v>ROCK</v>
          </cell>
          <cell r="D1127" t="str">
            <v>CITY OR VILLAGE</v>
          </cell>
        </row>
        <row r="1128">
          <cell r="B1128">
            <v>76</v>
          </cell>
          <cell r="C1128" t="str">
            <v>SALINE</v>
          </cell>
          <cell r="D1128" t="str">
            <v>CITY OR VILLAGE</v>
          </cell>
          <cell r="E1128">
            <v>6960</v>
          </cell>
          <cell r="F1128" t="str">
            <v>CRETE</v>
          </cell>
          <cell r="G1128">
            <v>9054818</v>
          </cell>
          <cell r="H1128">
            <v>2644512</v>
          </cell>
          <cell r="I1128">
            <v>4167685</v>
          </cell>
          <cell r="J1128">
            <v>207553105</v>
          </cell>
          <cell r="K1128">
            <v>62842360</v>
          </cell>
          <cell r="L1128">
            <v>6932755</v>
          </cell>
          <cell r="M1128">
            <v>288990</v>
          </cell>
          <cell r="N1128">
            <v>241445</v>
          </cell>
          <cell r="O1128">
            <v>0</v>
          </cell>
          <cell r="P1128">
            <v>8260</v>
          </cell>
          <cell r="Q1128">
            <v>0</v>
          </cell>
          <cell r="R1128">
            <v>293733930</v>
          </cell>
        </row>
        <row r="1129">
          <cell r="B1129">
            <v>76</v>
          </cell>
          <cell r="C1129" t="str">
            <v>SALINE</v>
          </cell>
          <cell r="D1129" t="str">
            <v>CITY OR VILLAGE</v>
          </cell>
          <cell r="E1129">
            <v>513</v>
          </cell>
          <cell r="F1129" t="str">
            <v>DEWITT</v>
          </cell>
          <cell r="G1129">
            <v>5532661</v>
          </cell>
          <cell r="H1129">
            <v>359556</v>
          </cell>
          <cell r="I1129">
            <v>411725</v>
          </cell>
          <cell r="J1129">
            <v>16849120</v>
          </cell>
          <cell r="K1129">
            <v>1560605</v>
          </cell>
          <cell r="L1129">
            <v>1000000</v>
          </cell>
          <cell r="M1129">
            <v>0</v>
          </cell>
          <cell r="N1129">
            <v>7200</v>
          </cell>
          <cell r="O1129">
            <v>0</v>
          </cell>
          <cell r="P1129">
            <v>0</v>
          </cell>
          <cell r="Q1129">
            <v>0</v>
          </cell>
          <cell r="R1129">
            <v>25720867</v>
          </cell>
        </row>
        <row r="1130">
          <cell r="B1130">
            <v>76</v>
          </cell>
          <cell r="C1130" t="str">
            <v>SALINE</v>
          </cell>
          <cell r="D1130" t="str">
            <v>CITY OR VILLAGE</v>
          </cell>
          <cell r="E1130">
            <v>586</v>
          </cell>
          <cell r="F1130" t="str">
            <v>DORCHESTER</v>
          </cell>
          <cell r="G1130">
            <v>1770251</v>
          </cell>
          <cell r="H1130">
            <v>387214</v>
          </cell>
          <cell r="I1130">
            <v>629440</v>
          </cell>
          <cell r="J1130">
            <v>25996775</v>
          </cell>
          <cell r="K1130">
            <v>10288715</v>
          </cell>
          <cell r="L1130">
            <v>0</v>
          </cell>
          <cell r="M1130">
            <v>0</v>
          </cell>
          <cell r="N1130">
            <v>221435</v>
          </cell>
          <cell r="O1130">
            <v>0</v>
          </cell>
          <cell r="P1130">
            <v>0</v>
          </cell>
          <cell r="Q1130">
            <v>0</v>
          </cell>
          <cell r="R1130">
            <v>39293830</v>
          </cell>
        </row>
        <row r="1131">
          <cell r="B1131">
            <v>76</v>
          </cell>
          <cell r="C1131" t="str">
            <v>SALINE</v>
          </cell>
          <cell r="D1131" t="str">
            <v>CITY OR VILLAGE</v>
          </cell>
          <cell r="E1131">
            <v>1027</v>
          </cell>
          <cell r="F1131" t="str">
            <v>FRIEND</v>
          </cell>
          <cell r="G1131">
            <v>2560151</v>
          </cell>
          <cell r="H1131">
            <v>962359</v>
          </cell>
          <cell r="I1131">
            <v>1676077</v>
          </cell>
          <cell r="J1131">
            <v>49874880</v>
          </cell>
          <cell r="K1131">
            <v>4923925</v>
          </cell>
          <cell r="L1131">
            <v>1284220</v>
          </cell>
          <cell r="M1131">
            <v>45450</v>
          </cell>
          <cell r="N1131">
            <v>16640</v>
          </cell>
          <cell r="O1131">
            <v>0</v>
          </cell>
          <cell r="P1131">
            <v>0</v>
          </cell>
          <cell r="Q1131">
            <v>0</v>
          </cell>
          <cell r="R1131">
            <v>61343702</v>
          </cell>
        </row>
        <row r="1132">
          <cell r="B1132">
            <v>76</v>
          </cell>
          <cell r="C1132" t="str">
            <v>SALINE</v>
          </cell>
          <cell r="D1132" t="str">
            <v>CITY OR VILLAGE</v>
          </cell>
          <cell r="E1132">
            <v>94</v>
          </cell>
          <cell r="F1132" t="str">
            <v>SWANTON</v>
          </cell>
          <cell r="G1132">
            <v>79005</v>
          </cell>
          <cell r="H1132">
            <v>43780</v>
          </cell>
          <cell r="I1132">
            <v>2069</v>
          </cell>
          <cell r="J1132">
            <v>2597640</v>
          </cell>
          <cell r="K1132">
            <v>1219330</v>
          </cell>
          <cell r="L1132">
            <v>0</v>
          </cell>
          <cell r="M1132">
            <v>0</v>
          </cell>
          <cell r="N1132">
            <v>39970</v>
          </cell>
          <cell r="O1132">
            <v>0</v>
          </cell>
          <cell r="P1132">
            <v>0</v>
          </cell>
          <cell r="Q1132">
            <v>0</v>
          </cell>
          <cell r="R1132">
            <v>3981794</v>
          </cell>
        </row>
        <row r="1133">
          <cell r="B1133">
            <v>76</v>
          </cell>
          <cell r="C1133" t="str">
            <v>SALINE</v>
          </cell>
          <cell r="D1133" t="str">
            <v>CITY OR VILLAGE</v>
          </cell>
          <cell r="E1133">
            <v>106</v>
          </cell>
          <cell r="F1133" t="str">
            <v>TOBIAS</v>
          </cell>
          <cell r="G1133">
            <v>21262</v>
          </cell>
          <cell r="H1133">
            <v>54612</v>
          </cell>
          <cell r="I1133">
            <v>2580</v>
          </cell>
          <cell r="J1133">
            <v>1948295</v>
          </cell>
          <cell r="K1133">
            <v>127240</v>
          </cell>
          <cell r="L1133">
            <v>0</v>
          </cell>
          <cell r="M1133">
            <v>0</v>
          </cell>
          <cell r="N1133">
            <v>30100</v>
          </cell>
          <cell r="O1133">
            <v>0</v>
          </cell>
          <cell r="P1133">
            <v>4345</v>
          </cell>
          <cell r="Q1133">
            <v>0</v>
          </cell>
          <cell r="R1133">
            <v>2188434</v>
          </cell>
        </row>
        <row r="1134">
          <cell r="B1134">
            <v>76</v>
          </cell>
          <cell r="C1134" t="str">
            <v>SALINE</v>
          </cell>
          <cell r="D1134" t="str">
            <v>CITY OR VILLAGE</v>
          </cell>
          <cell r="E1134">
            <v>235</v>
          </cell>
          <cell r="F1134" t="str">
            <v>WESTERN</v>
          </cell>
          <cell r="G1134">
            <v>47382</v>
          </cell>
          <cell r="H1134">
            <v>120202</v>
          </cell>
          <cell r="I1134">
            <v>10142</v>
          </cell>
          <cell r="J1134">
            <v>7256205</v>
          </cell>
          <cell r="K1134">
            <v>776865</v>
          </cell>
          <cell r="L1134">
            <v>0</v>
          </cell>
          <cell r="M1134">
            <v>0</v>
          </cell>
          <cell r="N1134">
            <v>216595</v>
          </cell>
          <cell r="O1134">
            <v>0</v>
          </cell>
          <cell r="P1134">
            <v>3020</v>
          </cell>
          <cell r="Q1134">
            <v>0</v>
          </cell>
          <cell r="R1134">
            <v>8430411</v>
          </cell>
        </row>
        <row r="1135">
          <cell r="B1135">
            <v>76</v>
          </cell>
          <cell r="C1135" t="str">
            <v>SALINE</v>
          </cell>
          <cell r="D1135" t="str">
            <v>CITY OR VILLAGE</v>
          </cell>
          <cell r="E1135">
            <v>1855</v>
          </cell>
          <cell r="F1135" t="str">
            <v>WILBER</v>
          </cell>
          <cell r="G1135">
            <v>708068</v>
          </cell>
          <cell r="H1135">
            <v>796830</v>
          </cell>
          <cell r="I1135">
            <v>336432</v>
          </cell>
          <cell r="J1135">
            <v>81928145</v>
          </cell>
          <cell r="K1135">
            <v>10777730</v>
          </cell>
          <cell r="L1135">
            <v>0</v>
          </cell>
          <cell r="M1135">
            <v>0</v>
          </cell>
          <cell r="N1135">
            <v>6680</v>
          </cell>
          <cell r="O1135">
            <v>0</v>
          </cell>
          <cell r="P1135">
            <v>21665</v>
          </cell>
          <cell r="Q1135">
            <v>0</v>
          </cell>
          <cell r="R1135">
            <v>94575550</v>
          </cell>
        </row>
        <row r="1136">
          <cell r="B1136">
            <v>76</v>
          </cell>
          <cell r="C1136" t="str">
            <v>SALINE</v>
          </cell>
          <cell r="D1136" t="str">
            <v>CITY OR VILLAGE</v>
          </cell>
        </row>
        <row r="1137">
          <cell r="B1137">
            <v>76</v>
          </cell>
          <cell r="C1137" t="str">
            <v>SALINE</v>
          </cell>
          <cell r="D1137" t="str">
            <v>CITY OR VILLAGE</v>
          </cell>
        </row>
        <row r="1138">
          <cell r="B1138">
            <v>76</v>
          </cell>
          <cell r="C1138" t="str">
            <v>SALINE</v>
          </cell>
          <cell r="D1138" t="str">
            <v>CITY OR VILLAGE</v>
          </cell>
        </row>
        <row r="1139">
          <cell r="B1139">
            <v>76</v>
          </cell>
          <cell r="C1139" t="str">
            <v>SALINE</v>
          </cell>
          <cell r="D1139" t="str">
            <v>CITY OR VILLAGE</v>
          </cell>
        </row>
        <row r="1140">
          <cell r="B1140">
            <v>76</v>
          </cell>
          <cell r="C1140" t="str">
            <v>SALINE</v>
          </cell>
          <cell r="D1140" t="str">
            <v>CITY OR VILLAGE</v>
          </cell>
        </row>
        <row r="1141">
          <cell r="B1141">
            <v>76</v>
          </cell>
          <cell r="C1141" t="str">
            <v>SALINE</v>
          </cell>
          <cell r="D1141" t="str">
            <v>CITY OR VILLAGE</v>
          </cell>
        </row>
        <row r="1142">
          <cell r="B1142">
            <v>76</v>
          </cell>
          <cell r="C1142" t="str">
            <v>SALINE</v>
          </cell>
          <cell r="D1142" t="str">
            <v>CITY OR VILLAGE</v>
          </cell>
        </row>
        <row r="1143">
          <cell r="B1143">
            <v>77</v>
          </cell>
          <cell r="C1143" t="str">
            <v>SARPY</v>
          </cell>
          <cell r="D1143" t="str">
            <v>CITY OR VILLAGE</v>
          </cell>
          <cell r="E1143">
            <v>58878</v>
          </cell>
          <cell r="F1143" t="str">
            <v>BELLEVUE</v>
          </cell>
          <cell r="G1143">
            <v>58929478</v>
          </cell>
          <cell r="H1143">
            <v>12951419</v>
          </cell>
          <cell r="I1143">
            <v>8662644</v>
          </cell>
          <cell r="J1143">
            <v>3305387401</v>
          </cell>
          <cell r="K1143">
            <v>907018091</v>
          </cell>
          <cell r="L1143">
            <v>78322798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4371271831</v>
          </cell>
        </row>
        <row r="1144">
          <cell r="B1144">
            <v>77</v>
          </cell>
          <cell r="C1144" t="str">
            <v>SARPY</v>
          </cell>
          <cell r="D1144" t="str">
            <v>CITY OR VILLAGE</v>
          </cell>
          <cell r="E1144">
            <v>4905</v>
          </cell>
          <cell r="F1144" t="str">
            <v>GRETNA</v>
          </cell>
          <cell r="G1144">
            <v>20094169</v>
          </cell>
          <cell r="H1144">
            <v>1499409</v>
          </cell>
          <cell r="I1144">
            <v>590908</v>
          </cell>
          <cell r="J1144">
            <v>277724731</v>
          </cell>
          <cell r="K1144">
            <v>85271242</v>
          </cell>
          <cell r="L1144">
            <v>56047834</v>
          </cell>
          <cell r="M1144">
            <v>0</v>
          </cell>
          <cell r="N1144">
            <v>23790</v>
          </cell>
          <cell r="O1144">
            <v>0</v>
          </cell>
          <cell r="P1144">
            <v>0</v>
          </cell>
          <cell r="Q1144">
            <v>0</v>
          </cell>
          <cell r="R1144">
            <v>441252083</v>
          </cell>
        </row>
        <row r="1145">
          <cell r="B1145">
            <v>77</v>
          </cell>
          <cell r="C1145" t="str">
            <v>SARPY</v>
          </cell>
          <cell r="D1145" t="str">
            <v>CITY OR VILLAGE</v>
          </cell>
          <cell r="E1145">
            <v>16638</v>
          </cell>
          <cell r="F1145" t="str">
            <v>LA VISTA</v>
          </cell>
          <cell r="G1145">
            <v>68082962</v>
          </cell>
          <cell r="H1145">
            <v>7431152</v>
          </cell>
          <cell r="I1145">
            <v>1651360</v>
          </cell>
          <cell r="J1145">
            <v>818889704</v>
          </cell>
          <cell r="K1145">
            <v>530851424</v>
          </cell>
          <cell r="L1145">
            <v>327868470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1754775072</v>
          </cell>
        </row>
        <row r="1146">
          <cell r="B1146">
            <v>77</v>
          </cell>
          <cell r="C1146" t="str">
            <v>SARPY</v>
          </cell>
          <cell r="D1146" t="str">
            <v>CITY OR VILLAGE</v>
          </cell>
          <cell r="E1146">
            <v>23889</v>
          </cell>
          <cell r="F1146" t="str">
            <v>PAPILLION</v>
          </cell>
          <cell r="G1146">
            <v>103015778</v>
          </cell>
          <cell r="H1146">
            <v>8128081</v>
          </cell>
          <cell r="I1146">
            <v>1415508</v>
          </cell>
          <cell r="J1146">
            <v>1562692196</v>
          </cell>
          <cell r="K1146">
            <v>566606965</v>
          </cell>
          <cell r="L1146">
            <v>376517500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2618376028</v>
          </cell>
        </row>
        <row r="1147">
          <cell r="B1147">
            <v>77</v>
          </cell>
          <cell r="C1147" t="str">
            <v>SARPY</v>
          </cell>
          <cell r="D1147" t="str">
            <v>CITY OR VILLAGE</v>
          </cell>
          <cell r="E1147">
            <v>1529</v>
          </cell>
          <cell r="F1147" t="str">
            <v>SPRINGFIELD</v>
          </cell>
          <cell r="G1147">
            <v>3987357</v>
          </cell>
          <cell r="H1147">
            <v>196651</v>
          </cell>
          <cell r="I1147">
            <v>80787</v>
          </cell>
          <cell r="J1147">
            <v>86044957</v>
          </cell>
          <cell r="K1147">
            <v>13484348</v>
          </cell>
          <cell r="L1147">
            <v>11537184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115331284</v>
          </cell>
        </row>
        <row r="1148">
          <cell r="B1148">
            <v>77</v>
          </cell>
          <cell r="C1148" t="str">
            <v>SARPY</v>
          </cell>
          <cell r="D1148" t="str">
            <v>CITY OR VILLAGE</v>
          </cell>
        </row>
        <row r="1149">
          <cell r="B1149">
            <v>77</v>
          </cell>
          <cell r="C1149" t="str">
            <v>SARPY</v>
          </cell>
          <cell r="D1149" t="str">
            <v>CITY OR VILLAGE</v>
          </cell>
        </row>
        <row r="1150">
          <cell r="B1150">
            <v>77</v>
          </cell>
          <cell r="C1150" t="str">
            <v>SARPY</v>
          </cell>
          <cell r="D1150" t="str">
            <v>CITY OR VILLAGE</v>
          </cell>
        </row>
        <row r="1151">
          <cell r="B1151">
            <v>77</v>
          </cell>
          <cell r="C1151" t="str">
            <v>SARPY</v>
          </cell>
          <cell r="D1151" t="str">
            <v>CITY OR VILLAGE</v>
          </cell>
        </row>
        <row r="1152">
          <cell r="B1152">
            <v>77</v>
          </cell>
          <cell r="C1152" t="str">
            <v>SARPY</v>
          </cell>
          <cell r="D1152" t="str">
            <v>CITY OR VILLAGE</v>
          </cell>
        </row>
        <row r="1153">
          <cell r="B1153">
            <v>77</v>
          </cell>
          <cell r="C1153" t="str">
            <v>SARPY</v>
          </cell>
          <cell r="D1153" t="str">
            <v>CITY OR VILLAGE</v>
          </cell>
        </row>
        <row r="1154">
          <cell r="B1154">
            <v>77</v>
          </cell>
          <cell r="C1154" t="str">
            <v>SARPY</v>
          </cell>
          <cell r="D1154" t="str">
            <v>CITY OR VILLAGE</v>
          </cell>
        </row>
        <row r="1155">
          <cell r="B1155">
            <v>77</v>
          </cell>
          <cell r="C1155" t="str">
            <v>SARPY</v>
          </cell>
          <cell r="D1155" t="str">
            <v>CITY OR VILLAGE</v>
          </cell>
        </row>
        <row r="1156">
          <cell r="B1156">
            <v>77</v>
          </cell>
          <cell r="C1156" t="str">
            <v>SARPY</v>
          </cell>
          <cell r="D1156" t="str">
            <v>CITY OR VILLAGE</v>
          </cell>
        </row>
        <row r="1157">
          <cell r="B1157">
            <v>77</v>
          </cell>
          <cell r="C1157" t="str">
            <v>SARPY</v>
          </cell>
          <cell r="D1157" t="str">
            <v>CITY OR VILLAGE</v>
          </cell>
        </row>
        <row r="1158">
          <cell r="B1158">
            <v>78</v>
          </cell>
          <cell r="C1158" t="str">
            <v>SAUNDERS</v>
          </cell>
          <cell r="D1158" t="str">
            <v>CITY OR VILLAGE</v>
          </cell>
          <cell r="E1158">
            <v>2453</v>
          </cell>
          <cell r="F1158" t="str">
            <v>ASHLAND</v>
          </cell>
          <cell r="G1158">
            <v>2368368</v>
          </cell>
          <cell r="H1158">
            <v>1706549</v>
          </cell>
          <cell r="I1158">
            <v>1937622</v>
          </cell>
          <cell r="J1158">
            <v>132530892</v>
          </cell>
          <cell r="K1158">
            <v>26008159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164551590</v>
          </cell>
        </row>
        <row r="1159">
          <cell r="B1159">
            <v>78</v>
          </cell>
          <cell r="C1159" t="str">
            <v>SAUNDERS</v>
          </cell>
          <cell r="D1159" t="str">
            <v>CITY OR VILLAGE</v>
          </cell>
          <cell r="E1159">
            <v>610</v>
          </cell>
          <cell r="F1159" t="str">
            <v>CEDAR BLUFFS</v>
          </cell>
          <cell r="G1159">
            <v>620326</v>
          </cell>
          <cell r="H1159">
            <v>67645</v>
          </cell>
          <cell r="I1159">
            <v>3196</v>
          </cell>
          <cell r="J1159">
            <v>24331109</v>
          </cell>
          <cell r="K1159">
            <v>2498020</v>
          </cell>
          <cell r="L1159">
            <v>0</v>
          </cell>
          <cell r="M1159">
            <v>0</v>
          </cell>
          <cell r="N1159">
            <v>17008</v>
          </cell>
          <cell r="O1159">
            <v>0</v>
          </cell>
          <cell r="P1159">
            <v>34350</v>
          </cell>
          <cell r="Q1159">
            <v>0</v>
          </cell>
          <cell r="R1159">
            <v>27571654</v>
          </cell>
        </row>
        <row r="1160">
          <cell r="B1160">
            <v>78</v>
          </cell>
          <cell r="C1160" t="str">
            <v>SAUNDERS</v>
          </cell>
          <cell r="D1160" t="str">
            <v>CITY OR VILLAGE</v>
          </cell>
          <cell r="E1160">
            <v>889</v>
          </cell>
          <cell r="F1160" t="str">
            <v>CERESCO</v>
          </cell>
          <cell r="G1160">
            <v>1602574</v>
          </cell>
          <cell r="H1160">
            <v>182678</v>
          </cell>
          <cell r="I1160">
            <v>157466</v>
          </cell>
          <cell r="J1160">
            <v>46623274</v>
          </cell>
          <cell r="K1160">
            <v>9542945</v>
          </cell>
          <cell r="L1160">
            <v>0</v>
          </cell>
          <cell r="M1160">
            <v>0</v>
          </cell>
          <cell r="N1160">
            <v>29360</v>
          </cell>
          <cell r="O1160">
            <v>0</v>
          </cell>
          <cell r="P1160">
            <v>0</v>
          </cell>
          <cell r="Q1160">
            <v>0</v>
          </cell>
          <cell r="R1160">
            <v>58138297</v>
          </cell>
        </row>
        <row r="1161">
          <cell r="B1161">
            <v>78</v>
          </cell>
          <cell r="C1161" t="str">
            <v>SAUNDERS</v>
          </cell>
          <cell r="D1161" t="str">
            <v>CITY OR VILLAGE</v>
          </cell>
          <cell r="E1161">
            <v>110</v>
          </cell>
          <cell r="F1161" t="str">
            <v>COLON</v>
          </cell>
          <cell r="G1161">
            <v>85142</v>
          </cell>
          <cell r="H1161">
            <v>44883</v>
          </cell>
          <cell r="I1161">
            <v>2121</v>
          </cell>
          <cell r="J1161">
            <v>4451447</v>
          </cell>
          <cell r="K1161">
            <v>616190</v>
          </cell>
          <cell r="L1161">
            <v>940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5200723</v>
          </cell>
        </row>
        <row r="1162">
          <cell r="B1162">
            <v>78</v>
          </cell>
          <cell r="C1162" t="str">
            <v>SAUNDERS</v>
          </cell>
          <cell r="D1162" t="str">
            <v>CITY OR VILLAGE</v>
          </cell>
          <cell r="E1162">
            <v>148</v>
          </cell>
          <cell r="F1162" t="str">
            <v>ITHACA</v>
          </cell>
          <cell r="G1162">
            <v>65455</v>
          </cell>
          <cell r="H1162">
            <v>42133</v>
          </cell>
          <cell r="I1162">
            <v>1991</v>
          </cell>
          <cell r="J1162">
            <v>4592323</v>
          </cell>
          <cell r="K1162">
            <v>298800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5000702</v>
          </cell>
        </row>
        <row r="1163">
          <cell r="B1163">
            <v>78</v>
          </cell>
          <cell r="C1163" t="str">
            <v>SAUNDERS</v>
          </cell>
          <cell r="D1163" t="str">
            <v>CITY OR VILLAGE</v>
          </cell>
          <cell r="E1163">
            <v>112</v>
          </cell>
          <cell r="F1163" t="str">
            <v>LESHARA</v>
          </cell>
          <cell r="G1163">
            <v>1626</v>
          </cell>
          <cell r="H1163">
            <v>99868</v>
          </cell>
          <cell r="I1163">
            <v>533641</v>
          </cell>
          <cell r="J1163">
            <v>4000051</v>
          </cell>
          <cell r="K1163">
            <v>80940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4716126</v>
          </cell>
        </row>
        <row r="1164">
          <cell r="B1164">
            <v>78</v>
          </cell>
          <cell r="C1164" t="str">
            <v>SAUNDERS</v>
          </cell>
          <cell r="D1164" t="str">
            <v>CITY OR VILLAGE</v>
          </cell>
          <cell r="E1164">
            <v>120</v>
          </cell>
          <cell r="F1164" t="str">
            <v>MALMO</v>
          </cell>
          <cell r="G1164">
            <v>202637</v>
          </cell>
          <cell r="H1164">
            <v>0</v>
          </cell>
          <cell r="I1164">
            <v>0</v>
          </cell>
          <cell r="J1164">
            <v>4073090</v>
          </cell>
          <cell r="K1164">
            <v>362050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4637777</v>
          </cell>
        </row>
        <row r="1165">
          <cell r="B1165">
            <v>78</v>
          </cell>
          <cell r="C1165" t="str">
            <v>SAUNDERS</v>
          </cell>
          <cell r="D1165" t="str">
            <v>CITY OR VILLAGE</v>
          </cell>
          <cell r="E1165">
            <v>569</v>
          </cell>
          <cell r="F1165" t="str">
            <v>MEAD</v>
          </cell>
          <cell r="G1165">
            <v>2018579</v>
          </cell>
          <cell r="H1165">
            <v>285267</v>
          </cell>
          <cell r="I1165">
            <v>504019</v>
          </cell>
          <cell r="J1165">
            <v>24878603</v>
          </cell>
          <cell r="K1165">
            <v>7582165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35268633</v>
          </cell>
        </row>
        <row r="1166">
          <cell r="B1166">
            <v>78</v>
          </cell>
          <cell r="C1166" t="str">
            <v>SAUNDERS</v>
          </cell>
          <cell r="D1166" t="str">
            <v>CITY OR VILLAGE</v>
          </cell>
          <cell r="E1166">
            <v>114</v>
          </cell>
          <cell r="F1166" t="str">
            <v>MEMPHIS</v>
          </cell>
          <cell r="G1166">
            <v>46480</v>
          </cell>
          <cell r="H1166">
            <v>1694</v>
          </cell>
          <cell r="I1166">
            <v>80</v>
          </cell>
          <cell r="J1166">
            <v>3096528</v>
          </cell>
          <cell r="K1166">
            <v>112537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3257319</v>
          </cell>
        </row>
        <row r="1167">
          <cell r="B1167">
            <v>78</v>
          </cell>
          <cell r="C1167" t="str">
            <v>SAUNDERS</v>
          </cell>
          <cell r="D1167" t="str">
            <v>CITY OR VILLAGE</v>
          </cell>
          <cell r="E1167">
            <v>135</v>
          </cell>
          <cell r="F1167" t="str">
            <v>MORSE BLUFF</v>
          </cell>
          <cell r="G1167">
            <v>267181</v>
          </cell>
          <cell r="H1167">
            <v>0</v>
          </cell>
          <cell r="I1167">
            <v>0</v>
          </cell>
          <cell r="J1167">
            <v>4158470</v>
          </cell>
          <cell r="K1167">
            <v>503845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4929496</v>
          </cell>
        </row>
        <row r="1168">
          <cell r="B1168">
            <v>78</v>
          </cell>
          <cell r="C1168" t="str">
            <v>SAUNDERS</v>
          </cell>
          <cell r="D1168" t="str">
            <v>CITY OR VILLAGE</v>
          </cell>
          <cell r="E1168">
            <v>303</v>
          </cell>
          <cell r="F1168" t="str">
            <v>PRAGUE</v>
          </cell>
          <cell r="G1168">
            <v>310164</v>
          </cell>
          <cell r="H1168">
            <v>0</v>
          </cell>
          <cell r="I1168">
            <v>0</v>
          </cell>
          <cell r="J1168">
            <v>10872112</v>
          </cell>
          <cell r="K1168">
            <v>1970910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13153186</v>
          </cell>
        </row>
        <row r="1169">
          <cell r="B1169">
            <v>78</v>
          </cell>
          <cell r="C1169" t="str">
            <v>SAUNDERS</v>
          </cell>
          <cell r="D1169" t="str">
            <v>CITY OR VILLAGE</v>
          </cell>
          <cell r="E1169">
            <v>570</v>
          </cell>
          <cell r="F1169" t="str">
            <v>VALPARAISO</v>
          </cell>
          <cell r="G1169">
            <v>1001732</v>
          </cell>
          <cell r="H1169">
            <v>316160</v>
          </cell>
          <cell r="I1169">
            <v>1325992</v>
          </cell>
          <cell r="J1169">
            <v>34585599</v>
          </cell>
          <cell r="K1169">
            <v>2380863</v>
          </cell>
          <cell r="L1169">
            <v>0</v>
          </cell>
          <cell r="M1169">
            <v>0</v>
          </cell>
          <cell r="N1169">
            <v>15923</v>
          </cell>
          <cell r="O1169">
            <v>0</v>
          </cell>
          <cell r="P1169">
            <v>0</v>
          </cell>
          <cell r="Q1169">
            <v>0</v>
          </cell>
          <cell r="R1169">
            <v>39626269</v>
          </cell>
        </row>
        <row r="1170">
          <cell r="B1170">
            <v>78</v>
          </cell>
          <cell r="C1170" t="str">
            <v>SAUNDERS</v>
          </cell>
          <cell r="D1170" t="str">
            <v>CITY OR VILLAGE</v>
          </cell>
          <cell r="E1170">
            <v>4510</v>
          </cell>
          <cell r="F1170" t="str">
            <v>WAHOO</v>
          </cell>
          <cell r="G1170">
            <v>11263592</v>
          </cell>
          <cell r="H1170">
            <v>878437</v>
          </cell>
          <cell r="I1170">
            <v>1635237</v>
          </cell>
          <cell r="J1170">
            <v>232822960</v>
          </cell>
          <cell r="K1170">
            <v>55877021</v>
          </cell>
          <cell r="L1170">
            <v>0</v>
          </cell>
          <cell r="M1170">
            <v>0</v>
          </cell>
          <cell r="N1170">
            <v>695950</v>
          </cell>
          <cell r="O1170">
            <v>0</v>
          </cell>
          <cell r="P1170">
            <v>0</v>
          </cell>
          <cell r="Q1170">
            <v>0</v>
          </cell>
          <cell r="R1170">
            <v>303173197</v>
          </cell>
        </row>
        <row r="1171">
          <cell r="B1171">
            <v>78</v>
          </cell>
          <cell r="C1171" t="str">
            <v>SAUNDERS</v>
          </cell>
          <cell r="D1171" t="str">
            <v>CITY OR VILLAGE</v>
          </cell>
          <cell r="E1171">
            <v>324</v>
          </cell>
          <cell r="F1171" t="str">
            <v>WESTON</v>
          </cell>
          <cell r="G1171">
            <v>566722</v>
          </cell>
          <cell r="H1171">
            <v>115432</v>
          </cell>
          <cell r="I1171">
            <v>710435</v>
          </cell>
          <cell r="J1171">
            <v>11025161</v>
          </cell>
          <cell r="K1171">
            <v>1049170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13466920</v>
          </cell>
        </row>
        <row r="1172">
          <cell r="B1172">
            <v>78</v>
          </cell>
          <cell r="C1172" t="str">
            <v>SAUNDERS</v>
          </cell>
          <cell r="D1172" t="str">
            <v>CITY OR VILLAGE</v>
          </cell>
          <cell r="E1172">
            <v>1174</v>
          </cell>
          <cell r="F1172" t="str">
            <v>YUTAN</v>
          </cell>
          <cell r="G1172">
            <v>1274399</v>
          </cell>
          <cell r="H1172">
            <v>479588</v>
          </cell>
          <cell r="I1172">
            <v>838317</v>
          </cell>
          <cell r="J1172">
            <v>61062445</v>
          </cell>
          <cell r="K1172">
            <v>3223989</v>
          </cell>
          <cell r="L1172">
            <v>0</v>
          </cell>
          <cell r="M1172">
            <v>0</v>
          </cell>
          <cell r="N1172">
            <v>29842</v>
          </cell>
          <cell r="O1172">
            <v>0</v>
          </cell>
          <cell r="P1172">
            <v>0</v>
          </cell>
          <cell r="Q1172">
            <v>0</v>
          </cell>
          <cell r="R1172">
            <v>66908580</v>
          </cell>
        </row>
        <row r="1173">
          <cell r="B1173">
            <v>79</v>
          </cell>
          <cell r="C1173" t="str">
            <v>SCOTTS BLUFF</v>
          </cell>
          <cell r="D1173" t="str">
            <v>CITY OR VILLAGE</v>
          </cell>
          <cell r="E1173">
            <v>8500</v>
          </cell>
          <cell r="F1173" t="str">
            <v>GERING</v>
          </cell>
          <cell r="G1173">
            <v>18426187</v>
          </cell>
          <cell r="H1173">
            <v>5188512</v>
          </cell>
          <cell r="I1173">
            <v>6086870</v>
          </cell>
          <cell r="J1173">
            <v>364422431</v>
          </cell>
          <cell r="K1173">
            <v>86521081</v>
          </cell>
          <cell r="L1173">
            <v>11624739</v>
          </cell>
          <cell r="M1173">
            <v>0</v>
          </cell>
          <cell r="N1173">
            <v>598706</v>
          </cell>
          <cell r="O1173">
            <v>0</v>
          </cell>
          <cell r="P1173">
            <v>5435</v>
          </cell>
          <cell r="Q1173">
            <v>0</v>
          </cell>
          <cell r="R1173">
            <v>492873961</v>
          </cell>
        </row>
        <row r="1174">
          <cell r="B1174">
            <v>79</v>
          </cell>
          <cell r="C1174" t="str">
            <v>SCOTTS BLUFF</v>
          </cell>
          <cell r="D1174" t="str">
            <v>CITY OR VILLAGE</v>
          </cell>
          <cell r="E1174">
            <v>106</v>
          </cell>
          <cell r="F1174" t="str">
            <v>HENRY</v>
          </cell>
          <cell r="G1174">
            <v>1870</v>
          </cell>
          <cell r="H1174">
            <v>365145</v>
          </cell>
          <cell r="I1174">
            <v>1779564</v>
          </cell>
          <cell r="J1174">
            <v>1730425</v>
          </cell>
          <cell r="K1174">
            <v>153359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4030363</v>
          </cell>
        </row>
        <row r="1175">
          <cell r="B1175">
            <v>79</v>
          </cell>
          <cell r="C1175" t="str">
            <v>SCOTTS BLUFF</v>
          </cell>
          <cell r="D1175" t="str">
            <v>CITY OR VILLAGE</v>
          </cell>
          <cell r="E1175">
            <v>341</v>
          </cell>
          <cell r="F1175" t="str">
            <v>LYMAN</v>
          </cell>
          <cell r="G1175">
            <v>493269</v>
          </cell>
          <cell r="H1175">
            <v>361629</v>
          </cell>
          <cell r="I1175">
            <v>1140487</v>
          </cell>
          <cell r="J1175">
            <v>5957366</v>
          </cell>
          <cell r="K1175">
            <v>1156287</v>
          </cell>
          <cell r="L1175">
            <v>415525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9524563</v>
          </cell>
        </row>
        <row r="1176">
          <cell r="B1176">
            <v>79</v>
          </cell>
          <cell r="C1176" t="str">
            <v>SCOTTS BLUFF</v>
          </cell>
          <cell r="D1176" t="str">
            <v>CITY OR VILLAGE</v>
          </cell>
          <cell r="E1176">
            <v>105</v>
          </cell>
          <cell r="F1176" t="str">
            <v>MCGREW</v>
          </cell>
          <cell r="G1176">
            <v>13489</v>
          </cell>
          <cell r="H1176">
            <v>211363</v>
          </cell>
          <cell r="I1176">
            <v>1300847</v>
          </cell>
          <cell r="J1176">
            <v>1881125</v>
          </cell>
          <cell r="K1176">
            <v>233973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3640797</v>
          </cell>
        </row>
        <row r="1177">
          <cell r="B1177">
            <v>79</v>
          </cell>
          <cell r="C1177" t="str">
            <v>SCOTTS BLUFF</v>
          </cell>
          <cell r="D1177" t="str">
            <v>CITY OR VILLAGE</v>
          </cell>
          <cell r="E1177">
            <v>112</v>
          </cell>
          <cell r="F1177" t="str">
            <v>MELBETA</v>
          </cell>
          <cell r="G1177">
            <v>12318</v>
          </cell>
          <cell r="H1177">
            <v>181608</v>
          </cell>
          <cell r="I1177">
            <v>1117718</v>
          </cell>
          <cell r="J1177">
            <v>2749328</v>
          </cell>
          <cell r="K1177">
            <v>168654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4229626</v>
          </cell>
        </row>
        <row r="1178">
          <cell r="B1178">
            <v>79</v>
          </cell>
          <cell r="C1178" t="str">
            <v>SCOTTS BLUFF</v>
          </cell>
          <cell r="D1178" t="str">
            <v>CITY OR VILLAGE</v>
          </cell>
          <cell r="E1178">
            <v>823</v>
          </cell>
          <cell r="F1178" t="str">
            <v>MINATARE</v>
          </cell>
          <cell r="G1178">
            <v>902250</v>
          </cell>
          <cell r="H1178">
            <v>636548</v>
          </cell>
          <cell r="I1178">
            <v>1000986</v>
          </cell>
          <cell r="J1178">
            <v>10355614</v>
          </cell>
          <cell r="K1178">
            <v>2738680</v>
          </cell>
          <cell r="L1178">
            <v>694889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16328967</v>
          </cell>
        </row>
        <row r="1179">
          <cell r="B1179">
            <v>79</v>
          </cell>
          <cell r="C1179" t="str">
            <v>SCOTTS BLUFF</v>
          </cell>
          <cell r="D1179" t="str">
            <v>CITY OR VILLAGE</v>
          </cell>
          <cell r="E1179">
            <v>1702</v>
          </cell>
          <cell r="F1179" t="str">
            <v>MITCHELL</v>
          </cell>
          <cell r="G1179">
            <v>1256172</v>
          </cell>
          <cell r="H1179">
            <v>1157523</v>
          </cell>
          <cell r="I1179">
            <v>2391377</v>
          </cell>
          <cell r="J1179">
            <v>48332068</v>
          </cell>
          <cell r="K1179">
            <v>7148054</v>
          </cell>
          <cell r="L1179">
            <v>210202</v>
          </cell>
          <cell r="M1179">
            <v>0</v>
          </cell>
          <cell r="N1179">
            <v>4899</v>
          </cell>
          <cell r="O1179">
            <v>0</v>
          </cell>
          <cell r="P1179">
            <v>0</v>
          </cell>
          <cell r="Q1179">
            <v>0</v>
          </cell>
          <cell r="R1179">
            <v>60500295</v>
          </cell>
        </row>
        <row r="1180">
          <cell r="B1180">
            <v>79</v>
          </cell>
          <cell r="C1180" t="str">
            <v>SCOTTS BLUFF</v>
          </cell>
          <cell r="D1180" t="str">
            <v>CITY OR VILLAGE</v>
          </cell>
          <cell r="E1180">
            <v>921</v>
          </cell>
          <cell r="F1180" t="str">
            <v>MORRILL</v>
          </cell>
          <cell r="G1180">
            <v>4807657</v>
          </cell>
          <cell r="H1180">
            <v>831947</v>
          </cell>
          <cell r="I1180">
            <v>1556299</v>
          </cell>
          <cell r="J1180">
            <v>30837872</v>
          </cell>
          <cell r="K1180">
            <v>7962596</v>
          </cell>
          <cell r="L1180">
            <v>1194060</v>
          </cell>
          <cell r="M1180">
            <v>0</v>
          </cell>
          <cell r="N1180">
            <v>24131</v>
          </cell>
          <cell r="O1180">
            <v>0</v>
          </cell>
          <cell r="P1180">
            <v>0</v>
          </cell>
          <cell r="Q1180">
            <v>0</v>
          </cell>
          <cell r="R1180">
            <v>47214562</v>
          </cell>
        </row>
        <row r="1181">
          <cell r="B1181">
            <v>79</v>
          </cell>
          <cell r="C1181" t="str">
            <v>SCOTTS BLUFF</v>
          </cell>
          <cell r="D1181" t="str">
            <v>CITY OR VILLAGE</v>
          </cell>
          <cell r="E1181">
            <v>15039</v>
          </cell>
          <cell r="F1181" t="str">
            <v>SCOTTSBLUFF</v>
          </cell>
          <cell r="G1181">
            <v>44381760</v>
          </cell>
          <cell r="H1181">
            <v>9104286</v>
          </cell>
          <cell r="I1181">
            <v>4895159</v>
          </cell>
          <cell r="J1181">
            <v>504078092</v>
          </cell>
          <cell r="K1181">
            <v>373873080</v>
          </cell>
          <cell r="L1181">
            <v>2932277</v>
          </cell>
          <cell r="M1181">
            <v>0</v>
          </cell>
          <cell r="N1181">
            <v>292943</v>
          </cell>
          <cell r="O1181">
            <v>0</v>
          </cell>
          <cell r="P1181">
            <v>0</v>
          </cell>
          <cell r="Q1181">
            <v>0</v>
          </cell>
          <cell r="R1181">
            <v>939557597</v>
          </cell>
        </row>
        <row r="1182">
          <cell r="B1182">
            <v>79</v>
          </cell>
          <cell r="C1182" t="str">
            <v>SCOTTS BLUFF</v>
          </cell>
          <cell r="D1182" t="str">
            <v>CITY OR VILLAGE</v>
          </cell>
          <cell r="E1182">
            <v>1198</v>
          </cell>
          <cell r="F1182" t="str">
            <v>TERRYTOWN</v>
          </cell>
          <cell r="G1182">
            <v>403214</v>
          </cell>
          <cell r="H1182">
            <v>10183</v>
          </cell>
          <cell r="I1182">
            <v>1315</v>
          </cell>
          <cell r="J1182">
            <v>19028846</v>
          </cell>
          <cell r="K1182">
            <v>6775815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26219373</v>
          </cell>
        </row>
        <row r="1183">
          <cell r="B1183">
            <v>79</v>
          </cell>
          <cell r="C1183" t="str">
            <v>SCOTTS BLUFF</v>
          </cell>
          <cell r="D1183" t="str">
            <v>CITY OR VILLAGE</v>
          </cell>
        </row>
        <row r="1184">
          <cell r="B1184">
            <v>79</v>
          </cell>
          <cell r="C1184" t="str">
            <v>SCOTTS BLUFF</v>
          </cell>
          <cell r="D1184" t="str">
            <v>CITY OR VILLAGE</v>
          </cell>
        </row>
        <row r="1185">
          <cell r="B1185">
            <v>79</v>
          </cell>
          <cell r="C1185" t="str">
            <v>SCOTTS BLUFF</v>
          </cell>
          <cell r="D1185" t="str">
            <v>CITY OR VILLAGE</v>
          </cell>
        </row>
        <row r="1186">
          <cell r="B1186">
            <v>79</v>
          </cell>
          <cell r="C1186" t="str">
            <v>SCOTTS BLUFF</v>
          </cell>
          <cell r="D1186" t="str">
            <v>CITY OR VILLAGE</v>
          </cell>
        </row>
        <row r="1187">
          <cell r="B1187">
            <v>79</v>
          </cell>
          <cell r="C1187" t="str">
            <v>SCOTTS BLUFF</v>
          </cell>
          <cell r="D1187" t="str">
            <v>CITY OR VILLAGE</v>
          </cell>
        </row>
        <row r="1188">
          <cell r="B1188">
            <v>80</v>
          </cell>
          <cell r="C1188" t="str">
            <v>SEWARD</v>
          </cell>
          <cell r="D1188" t="str">
            <v>CITY OR VILLAGE</v>
          </cell>
          <cell r="E1188">
            <v>403</v>
          </cell>
          <cell r="F1188" t="str">
            <v>BEAVER CROSSING</v>
          </cell>
          <cell r="G1188">
            <v>275207</v>
          </cell>
          <cell r="H1188">
            <v>125139</v>
          </cell>
          <cell r="I1188">
            <v>3271</v>
          </cell>
          <cell r="J1188">
            <v>16321751</v>
          </cell>
          <cell r="K1188">
            <v>1677778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18403146</v>
          </cell>
        </row>
        <row r="1189">
          <cell r="B1189">
            <v>80</v>
          </cell>
          <cell r="C1189" t="str">
            <v>SEWARD</v>
          </cell>
          <cell r="D1189" t="str">
            <v>CITY OR VILLAGE</v>
          </cell>
          <cell r="E1189">
            <v>191</v>
          </cell>
          <cell r="F1189" t="str">
            <v>BEE</v>
          </cell>
          <cell r="G1189">
            <v>572106</v>
          </cell>
          <cell r="H1189">
            <v>420562</v>
          </cell>
          <cell r="I1189">
            <v>92044</v>
          </cell>
          <cell r="J1189">
            <v>7176986</v>
          </cell>
          <cell r="K1189">
            <v>1461653</v>
          </cell>
          <cell r="L1189">
            <v>0</v>
          </cell>
          <cell r="M1189">
            <v>0</v>
          </cell>
          <cell r="N1189">
            <v>42845</v>
          </cell>
          <cell r="O1189">
            <v>0</v>
          </cell>
          <cell r="P1189">
            <v>0</v>
          </cell>
          <cell r="Q1189">
            <v>0</v>
          </cell>
          <cell r="R1189">
            <v>9766196</v>
          </cell>
        </row>
        <row r="1190">
          <cell r="B1190">
            <v>80</v>
          </cell>
          <cell r="C1190" t="str">
            <v>SEWARD</v>
          </cell>
          <cell r="D1190" t="str">
            <v>CITY OR VILLAGE</v>
          </cell>
          <cell r="E1190">
            <v>137</v>
          </cell>
          <cell r="F1190" t="str">
            <v>CORDOVA</v>
          </cell>
          <cell r="G1190">
            <v>102728</v>
          </cell>
          <cell r="H1190">
            <v>52527</v>
          </cell>
          <cell r="I1190">
            <v>2482</v>
          </cell>
          <cell r="J1190">
            <v>5600312</v>
          </cell>
          <cell r="K1190">
            <v>1405319</v>
          </cell>
          <cell r="L1190">
            <v>0</v>
          </cell>
          <cell r="M1190">
            <v>0</v>
          </cell>
          <cell r="N1190">
            <v>81073</v>
          </cell>
          <cell r="O1190">
            <v>0</v>
          </cell>
          <cell r="P1190">
            <v>0</v>
          </cell>
          <cell r="Q1190">
            <v>0</v>
          </cell>
          <cell r="R1190">
            <v>7244441</v>
          </cell>
        </row>
        <row r="1191">
          <cell r="B1191">
            <v>80</v>
          </cell>
          <cell r="C1191" t="str">
            <v>SEWARD</v>
          </cell>
          <cell r="D1191" t="str">
            <v>CITY OR VILLAGE</v>
          </cell>
          <cell r="E1191">
            <v>216</v>
          </cell>
          <cell r="F1191" t="str">
            <v>GARLAND</v>
          </cell>
          <cell r="G1191">
            <v>42647</v>
          </cell>
          <cell r="H1191">
            <v>46182</v>
          </cell>
          <cell r="I1191">
            <v>2182</v>
          </cell>
          <cell r="J1191">
            <v>10199989</v>
          </cell>
          <cell r="K1191">
            <v>614934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10905934</v>
          </cell>
        </row>
        <row r="1192">
          <cell r="B1192">
            <v>80</v>
          </cell>
          <cell r="C1192" t="str">
            <v>SEWARD</v>
          </cell>
          <cell r="D1192" t="str">
            <v>CITY OR VILLAGE</v>
          </cell>
          <cell r="E1192">
            <v>154</v>
          </cell>
          <cell r="F1192" t="str">
            <v>GOEHNER</v>
          </cell>
          <cell r="G1192">
            <v>14990</v>
          </cell>
          <cell r="H1192">
            <v>6794</v>
          </cell>
          <cell r="I1192">
            <v>321</v>
          </cell>
          <cell r="J1192">
            <v>9967335</v>
          </cell>
          <cell r="K1192">
            <v>800553</v>
          </cell>
          <cell r="L1192">
            <v>0</v>
          </cell>
          <cell r="M1192">
            <v>1240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10791233</v>
          </cell>
        </row>
        <row r="1193">
          <cell r="B1193">
            <v>80</v>
          </cell>
          <cell r="C1193" t="str">
            <v>SEWARD</v>
          </cell>
          <cell r="D1193" t="str">
            <v>CITY OR VILLAGE</v>
          </cell>
          <cell r="E1193">
            <v>2090</v>
          </cell>
          <cell r="F1193" t="str">
            <v>MILFORD</v>
          </cell>
          <cell r="G1193">
            <v>1538455</v>
          </cell>
          <cell r="H1193">
            <v>848197</v>
          </cell>
          <cell r="I1193">
            <v>1177635</v>
          </cell>
          <cell r="J1193">
            <v>94773591</v>
          </cell>
          <cell r="K1193">
            <v>10676659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109014537</v>
          </cell>
        </row>
        <row r="1194">
          <cell r="B1194">
            <v>80</v>
          </cell>
          <cell r="C1194" t="str">
            <v>SEWARD</v>
          </cell>
          <cell r="D1194" t="str">
            <v>CITY OR VILLAGE</v>
          </cell>
          <cell r="E1194">
            <v>205</v>
          </cell>
          <cell r="F1194" t="str">
            <v>PLEASANT DALE</v>
          </cell>
          <cell r="G1194">
            <v>67497</v>
          </cell>
          <cell r="H1194">
            <v>107503</v>
          </cell>
          <cell r="I1194">
            <v>5080</v>
          </cell>
          <cell r="J1194">
            <v>11312377</v>
          </cell>
          <cell r="K1194">
            <v>1165936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12658393</v>
          </cell>
        </row>
        <row r="1195">
          <cell r="B1195">
            <v>80</v>
          </cell>
          <cell r="C1195" t="str">
            <v>SEWARD</v>
          </cell>
          <cell r="D1195" t="str">
            <v>CITY OR VILLAGE</v>
          </cell>
          <cell r="E1195">
            <v>6964</v>
          </cell>
          <cell r="F1195" t="str">
            <v>SEWARD</v>
          </cell>
          <cell r="G1195">
            <v>29366781</v>
          </cell>
          <cell r="H1195">
            <v>2957288</v>
          </cell>
          <cell r="I1195">
            <v>2375415</v>
          </cell>
          <cell r="J1195">
            <v>410567692</v>
          </cell>
          <cell r="K1195">
            <v>81232415</v>
          </cell>
          <cell r="L1195">
            <v>18916609</v>
          </cell>
          <cell r="M1195">
            <v>0</v>
          </cell>
          <cell r="N1195">
            <v>905979</v>
          </cell>
          <cell r="O1195">
            <v>21060</v>
          </cell>
          <cell r="P1195">
            <v>245940</v>
          </cell>
          <cell r="Q1195">
            <v>0</v>
          </cell>
          <cell r="R1195">
            <v>546589179</v>
          </cell>
        </row>
        <row r="1196">
          <cell r="B1196">
            <v>80</v>
          </cell>
          <cell r="C1196" t="str">
            <v>SEWARD</v>
          </cell>
          <cell r="D1196" t="str">
            <v>CITY OR VILLAGE</v>
          </cell>
          <cell r="E1196">
            <v>242</v>
          </cell>
          <cell r="F1196" t="str">
            <v>STAPLEHURST</v>
          </cell>
          <cell r="G1196">
            <v>187728</v>
          </cell>
          <cell r="H1196">
            <v>111454</v>
          </cell>
          <cell r="I1196">
            <v>162539</v>
          </cell>
          <cell r="J1196">
            <v>7490938</v>
          </cell>
          <cell r="K1196">
            <v>998762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8951421</v>
          </cell>
        </row>
        <row r="1197">
          <cell r="B1197">
            <v>80</v>
          </cell>
          <cell r="C1197" t="str">
            <v>SEWARD</v>
          </cell>
          <cell r="D1197" t="str">
            <v>CITY OR VILLAGE</v>
          </cell>
          <cell r="E1197">
            <v>861</v>
          </cell>
          <cell r="F1197" t="str">
            <v>UTICA</v>
          </cell>
          <cell r="G1197">
            <v>1223104</v>
          </cell>
          <cell r="H1197">
            <v>439864</v>
          </cell>
          <cell r="I1197">
            <v>1219501</v>
          </cell>
          <cell r="J1197">
            <v>41338482</v>
          </cell>
          <cell r="K1197">
            <v>4686001</v>
          </cell>
          <cell r="L1197">
            <v>437818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49344770</v>
          </cell>
        </row>
        <row r="1198">
          <cell r="B1198">
            <v>80</v>
          </cell>
          <cell r="C1198" t="str">
            <v>SEWARD</v>
          </cell>
          <cell r="D1198" t="str">
            <v>CITY OR VILLAGE</v>
          </cell>
        </row>
        <row r="1199">
          <cell r="B1199">
            <v>80</v>
          </cell>
          <cell r="C1199" t="str">
            <v>SEWARD</v>
          </cell>
          <cell r="D1199" t="str">
            <v>CITY OR VILLAGE</v>
          </cell>
        </row>
        <row r="1200">
          <cell r="B1200">
            <v>80</v>
          </cell>
          <cell r="C1200" t="str">
            <v>SEWARD</v>
          </cell>
          <cell r="D1200" t="str">
            <v>CITY OR VILLAGE</v>
          </cell>
        </row>
        <row r="1201">
          <cell r="B1201">
            <v>80</v>
          </cell>
          <cell r="C1201" t="str">
            <v>SEWARD</v>
          </cell>
          <cell r="D1201" t="str">
            <v>CITY OR VILLAGE</v>
          </cell>
        </row>
        <row r="1202">
          <cell r="B1202">
            <v>80</v>
          </cell>
          <cell r="C1202" t="str">
            <v>SEWARD</v>
          </cell>
          <cell r="D1202" t="str">
            <v>CITY OR VILLAGE</v>
          </cell>
        </row>
        <row r="1203">
          <cell r="B1203">
            <v>81</v>
          </cell>
          <cell r="C1203" t="str">
            <v>SHERIDAN</v>
          </cell>
          <cell r="D1203" t="str">
            <v>CITY OR VILLAGE</v>
          </cell>
          <cell r="E1203">
            <v>41</v>
          </cell>
          <cell r="F1203" t="str">
            <v>CLINTON</v>
          </cell>
          <cell r="G1203">
            <v>14209</v>
          </cell>
          <cell r="H1203">
            <v>313</v>
          </cell>
          <cell r="I1203">
            <v>135</v>
          </cell>
          <cell r="J1203">
            <v>1130763</v>
          </cell>
          <cell r="K1203">
            <v>798384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1943804</v>
          </cell>
        </row>
        <row r="1204">
          <cell r="B1204">
            <v>81</v>
          </cell>
          <cell r="C1204" t="str">
            <v>SHERIDAN</v>
          </cell>
          <cell r="D1204" t="str">
            <v>CITY OR VILLAGE</v>
          </cell>
          <cell r="E1204">
            <v>1612</v>
          </cell>
          <cell r="F1204" t="str">
            <v>GORDON</v>
          </cell>
          <cell r="G1204">
            <v>2606256</v>
          </cell>
          <cell r="H1204">
            <v>2600567</v>
          </cell>
          <cell r="I1204">
            <v>500764</v>
          </cell>
          <cell r="J1204">
            <v>40045265</v>
          </cell>
          <cell r="K1204">
            <v>14166842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59919694</v>
          </cell>
        </row>
        <row r="1205">
          <cell r="B1205">
            <v>81</v>
          </cell>
          <cell r="C1205" t="str">
            <v>SHERIDAN</v>
          </cell>
          <cell r="D1205" t="str">
            <v>CITY OR VILLAGE</v>
          </cell>
          <cell r="E1205">
            <v>570</v>
          </cell>
          <cell r="F1205" t="str">
            <v>HAY SPRINGS</v>
          </cell>
          <cell r="G1205">
            <v>847462</v>
          </cell>
          <cell r="H1205">
            <v>439155</v>
          </cell>
          <cell r="I1205">
            <v>75414</v>
          </cell>
          <cell r="J1205">
            <v>12885644</v>
          </cell>
          <cell r="K1205">
            <v>3180527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17428202</v>
          </cell>
        </row>
        <row r="1206">
          <cell r="B1206">
            <v>81</v>
          </cell>
          <cell r="C1206" t="str">
            <v>SHERIDAN</v>
          </cell>
          <cell r="D1206" t="str">
            <v>CITY OR VILLAGE</v>
          </cell>
          <cell r="E1206">
            <v>890</v>
          </cell>
          <cell r="F1206" t="str">
            <v>RUSHVILLE</v>
          </cell>
          <cell r="G1206">
            <v>651037</v>
          </cell>
          <cell r="H1206">
            <v>757455</v>
          </cell>
          <cell r="I1206">
            <v>111825</v>
          </cell>
          <cell r="J1206">
            <v>19729645</v>
          </cell>
          <cell r="K1206">
            <v>5751419</v>
          </cell>
          <cell r="L1206">
            <v>0</v>
          </cell>
          <cell r="M1206">
            <v>0</v>
          </cell>
          <cell r="N1206">
            <v>36974</v>
          </cell>
          <cell r="O1206">
            <v>0</v>
          </cell>
          <cell r="P1206">
            <v>69345</v>
          </cell>
          <cell r="Q1206">
            <v>0</v>
          </cell>
          <cell r="R1206">
            <v>27107700</v>
          </cell>
        </row>
        <row r="1207">
          <cell r="B1207">
            <v>81</v>
          </cell>
          <cell r="C1207" t="str">
            <v>SHERIDAN</v>
          </cell>
          <cell r="D1207" t="str">
            <v>CITY OR VILLAGE</v>
          </cell>
        </row>
        <row r="1208">
          <cell r="B1208">
            <v>81</v>
          </cell>
          <cell r="C1208" t="str">
            <v>SHERIDAN</v>
          </cell>
          <cell r="D1208" t="str">
            <v>CITY OR VILLAGE</v>
          </cell>
        </row>
        <row r="1209">
          <cell r="B1209">
            <v>81</v>
          </cell>
          <cell r="C1209" t="str">
            <v>SHERIDAN</v>
          </cell>
          <cell r="D1209" t="str">
            <v>CITY OR VILLAGE</v>
          </cell>
        </row>
        <row r="1210">
          <cell r="B1210">
            <v>81</v>
          </cell>
          <cell r="C1210" t="str">
            <v>SHERIDAN</v>
          </cell>
          <cell r="D1210" t="str">
            <v>CITY OR VILLAGE</v>
          </cell>
        </row>
        <row r="1211">
          <cell r="B1211">
            <v>81</v>
          </cell>
          <cell r="C1211" t="str">
            <v>SHERIDAN</v>
          </cell>
          <cell r="D1211" t="str">
            <v>CITY OR VILLAGE</v>
          </cell>
        </row>
        <row r="1212">
          <cell r="B1212">
            <v>81</v>
          </cell>
          <cell r="C1212" t="str">
            <v>SHERIDAN</v>
          </cell>
          <cell r="D1212" t="str">
            <v>CITY OR VILLAGE</v>
          </cell>
        </row>
        <row r="1213">
          <cell r="B1213">
            <v>81</v>
          </cell>
          <cell r="C1213" t="str">
            <v>SHERIDAN</v>
          </cell>
          <cell r="D1213" t="str">
            <v>CITY OR VILLAGE</v>
          </cell>
        </row>
        <row r="1214">
          <cell r="B1214">
            <v>81</v>
          </cell>
          <cell r="C1214" t="str">
            <v>SHERIDAN</v>
          </cell>
          <cell r="D1214" t="str">
            <v>CITY OR VILLAGE</v>
          </cell>
        </row>
        <row r="1215">
          <cell r="B1215">
            <v>81</v>
          </cell>
          <cell r="C1215" t="str">
            <v>SHERIDAN</v>
          </cell>
          <cell r="D1215" t="str">
            <v>CITY OR VILLAGE</v>
          </cell>
        </row>
        <row r="1216">
          <cell r="B1216">
            <v>81</v>
          </cell>
          <cell r="C1216" t="str">
            <v>SHERIDAN</v>
          </cell>
          <cell r="D1216" t="str">
            <v>CITY OR VILLAGE</v>
          </cell>
        </row>
        <row r="1217">
          <cell r="B1217">
            <v>81</v>
          </cell>
          <cell r="C1217" t="str">
            <v>SHERIDAN</v>
          </cell>
          <cell r="D1217" t="str">
            <v>CITY OR VILLAGE</v>
          </cell>
        </row>
        <row r="1218">
          <cell r="B1218">
            <v>82</v>
          </cell>
          <cell r="C1218" t="str">
            <v>SHERMAN</v>
          </cell>
          <cell r="D1218" t="str">
            <v>CITY OR VILLAGE</v>
          </cell>
          <cell r="E1218">
            <v>194</v>
          </cell>
          <cell r="F1218" t="str">
            <v>ASHTON</v>
          </cell>
          <cell r="G1218">
            <v>223585</v>
          </cell>
          <cell r="H1218">
            <v>157478</v>
          </cell>
          <cell r="I1218">
            <v>5313</v>
          </cell>
          <cell r="J1218">
            <v>5856615</v>
          </cell>
          <cell r="K1218">
            <v>1705325</v>
          </cell>
          <cell r="L1218">
            <v>0</v>
          </cell>
          <cell r="M1218">
            <v>0</v>
          </cell>
          <cell r="N1218">
            <v>61595</v>
          </cell>
          <cell r="O1218">
            <v>0</v>
          </cell>
          <cell r="P1218">
            <v>0</v>
          </cell>
          <cell r="Q1218">
            <v>0</v>
          </cell>
          <cell r="R1218">
            <v>8009911</v>
          </cell>
        </row>
        <row r="1219">
          <cell r="B1219">
            <v>82</v>
          </cell>
          <cell r="C1219" t="str">
            <v>SHERMAN</v>
          </cell>
          <cell r="D1219" t="str">
            <v>CITY OR VILLAGE</v>
          </cell>
          <cell r="E1219">
            <v>70</v>
          </cell>
          <cell r="F1219" t="str">
            <v>HAZARD</v>
          </cell>
          <cell r="G1219">
            <v>33768</v>
          </cell>
          <cell r="H1219">
            <v>430513</v>
          </cell>
          <cell r="I1219">
            <v>1631439</v>
          </cell>
          <cell r="J1219">
            <v>3038015</v>
          </cell>
          <cell r="K1219">
            <v>230210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5363945</v>
          </cell>
        </row>
        <row r="1220">
          <cell r="B1220">
            <v>82</v>
          </cell>
          <cell r="C1220" t="str">
            <v>SHERMAN</v>
          </cell>
          <cell r="D1220" t="str">
            <v>CITY OR VILLAGE</v>
          </cell>
          <cell r="E1220">
            <v>262</v>
          </cell>
          <cell r="F1220" t="str">
            <v>LITCHFIELD</v>
          </cell>
          <cell r="G1220">
            <v>1650602</v>
          </cell>
          <cell r="H1220">
            <v>681288</v>
          </cell>
          <cell r="I1220">
            <v>1290088</v>
          </cell>
          <cell r="J1220">
            <v>6404440</v>
          </cell>
          <cell r="K1220">
            <v>2471510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12497928</v>
          </cell>
        </row>
        <row r="1221">
          <cell r="B1221">
            <v>82</v>
          </cell>
          <cell r="C1221" t="str">
            <v>SHERMAN</v>
          </cell>
          <cell r="D1221" t="str">
            <v>CITY OR VILLAGE</v>
          </cell>
          <cell r="E1221">
            <v>1029</v>
          </cell>
          <cell r="F1221" t="str">
            <v>LOUP CITY</v>
          </cell>
          <cell r="G1221">
            <v>1171468</v>
          </cell>
          <cell r="H1221">
            <v>926701</v>
          </cell>
          <cell r="I1221">
            <v>157199</v>
          </cell>
          <cell r="J1221">
            <v>32173530</v>
          </cell>
          <cell r="K1221">
            <v>10069710</v>
          </cell>
          <cell r="L1221">
            <v>225355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44723963</v>
          </cell>
        </row>
        <row r="1222">
          <cell r="B1222">
            <v>82</v>
          </cell>
          <cell r="C1222" t="str">
            <v>SHERMAN</v>
          </cell>
          <cell r="D1222" t="str">
            <v>CITY OR VILLAGE</v>
          </cell>
          <cell r="E1222">
            <v>106</v>
          </cell>
          <cell r="F1222" t="str">
            <v>ROCKVILLE</v>
          </cell>
          <cell r="G1222">
            <v>86373</v>
          </cell>
          <cell r="H1222">
            <v>113120</v>
          </cell>
          <cell r="I1222">
            <v>5896</v>
          </cell>
          <cell r="J1222">
            <v>1827285</v>
          </cell>
          <cell r="K1222">
            <v>521565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2554239</v>
          </cell>
        </row>
        <row r="1223">
          <cell r="B1223">
            <v>82</v>
          </cell>
          <cell r="C1223" t="str">
            <v>SHERMAN</v>
          </cell>
          <cell r="D1223" t="str">
            <v>CITY OR VILLAGE</v>
          </cell>
        </row>
        <row r="1224">
          <cell r="B1224">
            <v>82</v>
          </cell>
          <cell r="C1224" t="str">
            <v>SHERMAN</v>
          </cell>
          <cell r="D1224" t="str">
            <v>CITY OR VILLAGE</v>
          </cell>
        </row>
        <row r="1225">
          <cell r="B1225">
            <v>82</v>
          </cell>
          <cell r="C1225" t="str">
            <v>SHERMAN</v>
          </cell>
          <cell r="D1225" t="str">
            <v>CITY OR VILLAGE</v>
          </cell>
        </row>
        <row r="1226">
          <cell r="B1226">
            <v>82</v>
          </cell>
          <cell r="C1226" t="str">
            <v>SHERMAN</v>
          </cell>
          <cell r="D1226" t="str">
            <v>CITY OR VILLAGE</v>
          </cell>
        </row>
        <row r="1227">
          <cell r="B1227">
            <v>82</v>
          </cell>
          <cell r="C1227" t="str">
            <v>SHERMAN</v>
          </cell>
          <cell r="D1227" t="str">
            <v>CITY OR VILLAGE</v>
          </cell>
        </row>
        <row r="1228">
          <cell r="B1228">
            <v>82</v>
          </cell>
          <cell r="C1228" t="str">
            <v>SHERMAN</v>
          </cell>
          <cell r="D1228" t="str">
            <v>CITY OR VILLAGE</v>
          </cell>
        </row>
        <row r="1229">
          <cell r="B1229">
            <v>82</v>
          </cell>
          <cell r="C1229" t="str">
            <v>SHERMAN</v>
          </cell>
          <cell r="D1229" t="str">
            <v>CITY OR VILLAGE</v>
          </cell>
        </row>
        <row r="1230">
          <cell r="B1230">
            <v>82</v>
          </cell>
          <cell r="C1230" t="str">
            <v>SHERMAN</v>
          </cell>
          <cell r="D1230" t="str">
            <v>CITY OR VILLAGE</v>
          </cell>
        </row>
        <row r="1231">
          <cell r="B1231">
            <v>82</v>
          </cell>
          <cell r="C1231" t="str">
            <v>SHERMAN</v>
          </cell>
          <cell r="D1231" t="str">
            <v>CITY OR VILLAGE</v>
          </cell>
        </row>
        <row r="1232">
          <cell r="B1232">
            <v>82</v>
          </cell>
          <cell r="C1232" t="str">
            <v>SHERMAN</v>
          </cell>
          <cell r="D1232" t="str">
            <v>CITY OR VILLAGE</v>
          </cell>
        </row>
        <row r="1233">
          <cell r="B1233">
            <v>83</v>
          </cell>
          <cell r="C1233" t="str">
            <v>SIOUX</v>
          </cell>
          <cell r="D1233" t="str">
            <v>CITY OR VILLAGE</v>
          </cell>
          <cell r="E1233">
            <v>251</v>
          </cell>
          <cell r="F1233" t="str">
            <v>HARRISON</v>
          </cell>
          <cell r="G1233">
            <v>259648</v>
          </cell>
          <cell r="H1233">
            <v>142615</v>
          </cell>
          <cell r="I1233">
            <v>61606</v>
          </cell>
          <cell r="J1233">
            <v>8383398</v>
          </cell>
          <cell r="K1233">
            <v>1642903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10490170</v>
          </cell>
        </row>
        <row r="1234">
          <cell r="B1234">
            <v>83</v>
          </cell>
          <cell r="C1234" t="str">
            <v>SIOUX</v>
          </cell>
          <cell r="D1234" t="str">
            <v>CITY OR VILLAGE</v>
          </cell>
        </row>
        <row r="1235">
          <cell r="B1235">
            <v>83</v>
          </cell>
          <cell r="C1235" t="str">
            <v>SIOUX</v>
          </cell>
          <cell r="D1235" t="str">
            <v>CITY OR VILLAGE</v>
          </cell>
        </row>
        <row r="1236">
          <cell r="B1236">
            <v>83</v>
          </cell>
          <cell r="C1236" t="str">
            <v>SIOUX</v>
          </cell>
          <cell r="D1236" t="str">
            <v>CITY OR VILLAGE</v>
          </cell>
        </row>
        <row r="1237">
          <cell r="B1237">
            <v>83</v>
          </cell>
          <cell r="C1237" t="str">
            <v>SIOUX</v>
          </cell>
          <cell r="D1237" t="str">
            <v>CITY OR VILLAGE</v>
          </cell>
        </row>
        <row r="1238">
          <cell r="B1238">
            <v>83</v>
          </cell>
          <cell r="C1238" t="str">
            <v>SIOUX</v>
          </cell>
          <cell r="D1238" t="str">
            <v>CITY OR VILLAGE</v>
          </cell>
        </row>
        <row r="1239">
          <cell r="B1239">
            <v>83</v>
          </cell>
          <cell r="C1239" t="str">
            <v>SIOUX</v>
          </cell>
          <cell r="D1239" t="str">
            <v>CITY OR VILLAGE</v>
          </cell>
        </row>
        <row r="1240">
          <cell r="B1240">
            <v>83</v>
          </cell>
          <cell r="C1240" t="str">
            <v>SIOUX</v>
          </cell>
          <cell r="D1240" t="str">
            <v>CITY OR VILLAGE</v>
          </cell>
        </row>
        <row r="1241">
          <cell r="B1241">
            <v>83</v>
          </cell>
          <cell r="C1241" t="str">
            <v>SIOUX</v>
          </cell>
          <cell r="D1241" t="str">
            <v>CITY OR VILLAGE</v>
          </cell>
        </row>
        <row r="1242">
          <cell r="B1242">
            <v>83</v>
          </cell>
          <cell r="C1242" t="str">
            <v>SIOUX</v>
          </cell>
          <cell r="D1242" t="str">
            <v>CITY OR VILLAGE</v>
          </cell>
        </row>
        <row r="1243">
          <cell r="B1243">
            <v>83</v>
          </cell>
          <cell r="C1243" t="str">
            <v>SIOUX</v>
          </cell>
          <cell r="D1243" t="str">
            <v>CITY OR VILLAGE</v>
          </cell>
        </row>
        <row r="1244">
          <cell r="B1244">
            <v>83</v>
          </cell>
          <cell r="C1244" t="str">
            <v>SIOUX</v>
          </cell>
          <cell r="D1244" t="str">
            <v>CITY OR VILLAGE</v>
          </cell>
        </row>
        <row r="1245">
          <cell r="B1245">
            <v>83</v>
          </cell>
          <cell r="C1245" t="str">
            <v>SIOUX</v>
          </cell>
          <cell r="D1245" t="str">
            <v>CITY OR VILLAGE</v>
          </cell>
        </row>
        <row r="1246">
          <cell r="B1246">
            <v>83</v>
          </cell>
          <cell r="C1246" t="str">
            <v>SIOUX</v>
          </cell>
          <cell r="D1246" t="str">
            <v>CITY OR VILLAGE</v>
          </cell>
        </row>
        <row r="1247">
          <cell r="B1247">
            <v>83</v>
          </cell>
          <cell r="C1247" t="str">
            <v>SIOUX</v>
          </cell>
          <cell r="D1247" t="str">
            <v>CITY OR VILLAGE</v>
          </cell>
        </row>
        <row r="1248">
          <cell r="B1248">
            <v>84</v>
          </cell>
          <cell r="C1248" t="str">
            <v>STANTON</v>
          </cell>
          <cell r="D1248" t="str">
            <v>CITY OR VILLAGE</v>
          </cell>
          <cell r="E1248">
            <v>352</v>
          </cell>
          <cell r="F1248" t="str">
            <v>PILGER</v>
          </cell>
          <cell r="G1248">
            <v>802478</v>
          </cell>
          <cell r="H1248">
            <v>378661</v>
          </cell>
          <cell r="I1248">
            <v>73937</v>
          </cell>
          <cell r="J1248">
            <v>8484015</v>
          </cell>
          <cell r="K1248">
            <v>9503665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19242756</v>
          </cell>
        </row>
        <row r="1249">
          <cell r="B1249">
            <v>84</v>
          </cell>
          <cell r="C1249" t="str">
            <v>STANTON</v>
          </cell>
          <cell r="D1249" t="str">
            <v>CITY OR VILLAGE</v>
          </cell>
          <cell r="E1249">
            <v>1577</v>
          </cell>
          <cell r="F1249" t="str">
            <v>STANTON</v>
          </cell>
          <cell r="G1249">
            <v>705199</v>
          </cell>
          <cell r="H1249">
            <v>1160024</v>
          </cell>
          <cell r="I1249">
            <v>165664</v>
          </cell>
          <cell r="J1249">
            <v>59606930</v>
          </cell>
          <cell r="K1249">
            <v>7135830</v>
          </cell>
          <cell r="L1249">
            <v>0</v>
          </cell>
          <cell r="M1249">
            <v>0</v>
          </cell>
          <cell r="N1249">
            <v>227620</v>
          </cell>
          <cell r="O1249">
            <v>0</v>
          </cell>
          <cell r="P1249">
            <v>0</v>
          </cell>
          <cell r="Q1249">
            <v>0</v>
          </cell>
          <cell r="R1249">
            <v>69001267</v>
          </cell>
        </row>
        <row r="1250">
          <cell r="B1250">
            <v>84</v>
          </cell>
          <cell r="C1250" t="str">
            <v>STANTON</v>
          </cell>
          <cell r="D1250" t="str">
            <v>CITY OR VILLAGE</v>
          </cell>
        </row>
        <row r="1251">
          <cell r="B1251">
            <v>84</v>
          </cell>
          <cell r="C1251" t="str">
            <v>STANTON</v>
          </cell>
          <cell r="D1251" t="str">
            <v>CITY OR VILLAGE</v>
          </cell>
        </row>
        <row r="1252">
          <cell r="B1252">
            <v>84</v>
          </cell>
          <cell r="C1252" t="str">
            <v>STANTON</v>
          </cell>
          <cell r="D1252" t="str">
            <v>CITY OR VILLAGE</v>
          </cell>
        </row>
        <row r="1253">
          <cell r="B1253">
            <v>84</v>
          </cell>
          <cell r="C1253" t="str">
            <v>STANTON</v>
          </cell>
          <cell r="D1253" t="str">
            <v>CITY OR VILLAGE</v>
          </cell>
        </row>
        <row r="1254">
          <cell r="B1254">
            <v>84</v>
          </cell>
          <cell r="C1254" t="str">
            <v>STANTON</v>
          </cell>
          <cell r="D1254" t="str">
            <v>CITY OR VILLAGE</v>
          </cell>
        </row>
        <row r="1255">
          <cell r="B1255">
            <v>84</v>
          </cell>
          <cell r="C1255" t="str">
            <v>STANTON</v>
          </cell>
          <cell r="D1255" t="str">
            <v>CITY OR VILLAGE</v>
          </cell>
        </row>
        <row r="1256">
          <cell r="B1256">
            <v>84</v>
          </cell>
          <cell r="C1256" t="str">
            <v>STANTON</v>
          </cell>
          <cell r="D1256" t="str">
            <v>CITY OR VILLAGE</v>
          </cell>
        </row>
        <row r="1257">
          <cell r="B1257">
            <v>84</v>
          </cell>
          <cell r="C1257" t="str">
            <v>STANTON</v>
          </cell>
          <cell r="D1257" t="str">
            <v>CITY OR VILLAGE</v>
          </cell>
        </row>
        <row r="1258">
          <cell r="B1258">
            <v>84</v>
          </cell>
          <cell r="C1258" t="str">
            <v>STANTON</v>
          </cell>
          <cell r="D1258" t="str">
            <v>CITY OR VILLAGE</v>
          </cell>
        </row>
        <row r="1259">
          <cell r="B1259">
            <v>84</v>
          </cell>
          <cell r="C1259" t="str">
            <v>STANTON</v>
          </cell>
          <cell r="D1259" t="str">
            <v>CITY OR VILLAGE</v>
          </cell>
        </row>
        <row r="1260">
          <cell r="B1260">
            <v>84</v>
          </cell>
          <cell r="C1260" t="str">
            <v>STANTON</v>
          </cell>
          <cell r="D1260" t="str">
            <v>CITY OR VILLAGE</v>
          </cell>
        </row>
        <row r="1261">
          <cell r="B1261">
            <v>84</v>
          </cell>
          <cell r="C1261" t="str">
            <v>STANTON</v>
          </cell>
          <cell r="D1261" t="str">
            <v>CITY OR VILLAGE</v>
          </cell>
        </row>
        <row r="1262">
          <cell r="B1262">
            <v>84</v>
          </cell>
          <cell r="C1262" t="str">
            <v>STANTON</v>
          </cell>
          <cell r="D1262" t="str">
            <v>CITY OR VILLAGE</v>
          </cell>
        </row>
        <row r="1263">
          <cell r="B1263">
            <v>85</v>
          </cell>
          <cell r="C1263" t="str">
            <v>THAYER</v>
          </cell>
          <cell r="D1263" t="str">
            <v>CITY OR VILLAGE</v>
          </cell>
          <cell r="E1263">
            <v>177</v>
          </cell>
          <cell r="F1263" t="str">
            <v>ALEXANDRIA</v>
          </cell>
          <cell r="G1263">
            <v>8347</v>
          </cell>
          <cell r="H1263">
            <v>385062</v>
          </cell>
          <cell r="I1263">
            <v>1963738</v>
          </cell>
          <cell r="J1263">
            <v>1959077</v>
          </cell>
          <cell r="K1263">
            <v>34850</v>
          </cell>
          <cell r="L1263">
            <v>0</v>
          </cell>
          <cell r="M1263">
            <v>0</v>
          </cell>
          <cell r="N1263">
            <v>161445</v>
          </cell>
          <cell r="O1263">
            <v>0</v>
          </cell>
          <cell r="P1263">
            <v>53220</v>
          </cell>
          <cell r="Q1263">
            <v>0</v>
          </cell>
          <cell r="R1263">
            <v>4565739</v>
          </cell>
        </row>
        <row r="1264">
          <cell r="B1264">
            <v>85</v>
          </cell>
          <cell r="C1264" t="str">
            <v>THAYER</v>
          </cell>
          <cell r="D1264" t="str">
            <v>CITY OR VILLAGE</v>
          </cell>
          <cell r="E1264">
            <v>48</v>
          </cell>
          <cell r="F1264" t="str">
            <v>BELVIDERE</v>
          </cell>
          <cell r="G1264">
            <v>137056</v>
          </cell>
          <cell r="H1264">
            <v>459182</v>
          </cell>
          <cell r="I1264">
            <v>2736580</v>
          </cell>
          <cell r="J1264">
            <v>888584</v>
          </cell>
          <cell r="K1264">
            <v>380061</v>
          </cell>
          <cell r="L1264">
            <v>0</v>
          </cell>
          <cell r="M1264">
            <v>0</v>
          </cell>
          <cell r="N1264">
            <v>319301</v>
          </cell>
          <cell r="O1264">
            <v>0</v>
          </cell>
          <cell r="P1264">
            <v>90493</v>
          </cell>
          <cell r="Q1264">
            <v>0</v>
          </cell>
          <cell r="R1264">
            <v>5011257</v>
          </cell>
        </row>
        <row r="1265">
          <cell r="B1265">
            <v>85</v>
          </cell>
          <cell r="C1265" t="str">
            <v>THAYER</v>
          </cell>
          <cell r="D1265" t="str">
            <v>CITY OR VILLAGE</v>
          </cell>
          <cell r="E1265">
            <v>279</v>
          </cell>
          <cell r="F1265" t="str">
            <v>BRUNING</v>
          </cell>
          <cell r="G1265">
            <v>1561114</v>
          </cell>
          <cell r="H1265">
            <v>63341</v>
          </cell>
          <cell r="I1265">
            <v>2991</v>
          </cell>
          <cell r="J1265">
            <v>9856095</v>
          </cell>
          <cell r="K1265">
            <v>3486699</v>
          </cell>
          <cell r="L1265">
            <v>698574</v>
          </cell>
          <cell r="M1265">
            <v>0</v>
          </cell>
          <cell r="N1265">
            <v>42254</v>
          </cell>
          <cell r="O1265">
            <v>0</v>
          </cell>
          <cell r="P1265">
            <v>0</v>
          </cell>
          <cell r="Q1265">
            <v>0</v>
          </cell>
          <cell r="R1265">
            <v>15711068</v>
          </cell>
        </row>
        <row r="1266">
          <cell r="B1266">
            <v>85</v>
          </cell>
          <cell r="C1266" t="str">
            <v>THAYER</v>
          </cell>
          <cell r="D1266" t="str">
            <v>CITY OR VILLAGE</v>
          </cell>
          <cell r="E1266">
            <v>83</v>
          </cell>
          <cell r="F1266" t="str">
            <v>BYRON</v>
          </cell>
          <cell r="G1266">
            <v>808810</v>
          </cell>
          <cell r="H1266">
            <v>358092</v>
          </cell>
          <cell r="I1266">
            <v>72522</v>
          </cell>
          <cell r="J1266">
            <v>2081128</v>
          </cell>
          <cell r="K1266">
            <v>1616808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4937360</v>
          </cell>
        </row>
        <row r="1267">
          <cell r="B1267">
            <v>85</v>
          </cell>
          <cell r="C1267" t="str">
            <v>THAYER</v>
          </cell>
          <cell r="D1267" t="str">
            <v>CITY OR VILLAGE</v>
          </cell>
          <cell r="E1267">
            <v>91</v>
          </cell>
          <cell r="F1267" t="str">
            <v>CARLETON</v>
          </cell>
          <cell r="G1267">
            <v>773718</v>
          </cell>
          <cell r="H1267">
            <v>309307</v>
          </cell>
          <cell r="I1267">
            <v>1590283</v>
          </cell>
          <cell r="J1267">
            <v>2315763</v>
          </cell>
          <cell r="K1267">
            <v>4215989</v>
          </cell>
          <cell r="L1267">
            <v>0</v>
          </cell>
          <cell r="M1267">
            <v>0</v>
          </cell>
          <cell r="N1267">
            <v>92853</v>
          </cell>
          <cell r="O1267">
            <v>0</v>
          </cell>
          <cell r="P1267">
            <v>42007</v>
          </cell>
          <cell r="Q1267">
            <v>0</v>
          </cell>
          <cell r="R1267">
            <v>9339920</v>
          </cell>
        </row>
        <row r="1268">
          <cell r="B1268">
            <v>85</v>
          </cell>
          <cell r="C1268" t="str">
            <v>THAYER</v>
          </cell>
          <cell r="D1268" t="str">
            <v>CITY OR VILLAGE</v>
          </cell>
          <cell r="E1268">
            <v>232</v>
          </cell>
          <cell r="F1268" t="str">
            <v>CHESTER</v>
          </cell>
          <cell r="G1268">
            <v>1527739</v>
          </cell>
          <cell r="H1268">
            <v>328014</v>
          </cell>
          <cell r="I1268">
            <v>57107</v>
          </cell>
          <cell r="J1268">
            <v>4945142</v>
          </cell>
          <cell r="K1268">
            <v>3345834</v>
          </cell>
          <cell r="L1268">
            <v>0</v>
          </cell>
          <cell r="M1268">
            <v>0</v>
          </cell>
          <cell r="N1268">
            <v>346361</v>
          </cell>
          <cell r="O1268">
            <v>0</v>
          </cell>
          <cell r="P1268">
            <v>18922</v>
          </cell>
          <cell r="Q1268">
            <v>0</v>
          </cell>
          <cell r="R1268">
            <v>10569119</v>
          </cell>
        </row>
        <row r="1269">
          <cell r="B1269">
            <v>85</v>
          </cell>
          <cell r="C1269" t="str">
            <v>THAYER</v>
          </cell>
          <cell r="D1269" t="str">
            <v>CITY OR VILLAGE</v>
          </cell>
          <cell r="E1269">
            <v>294</v>
          </cell>
          <cell r="F1269" t="str">
            <v>DAVENPORT</v>
          </cell>
          <cell r="G1269">
            <v>2634497</v>
          </cell>
          <cell r="H1269">
            <v>1515389</v>
          </cell>
          <cell r="I1269">
            <v>5417524</v>
          </cell>
          <cell r="J1269">
            <v>6184595</v>
          </cell>
          <cell r="K1269">
            <v>2802452</v>
          </cell>
          <cell r="L1269">
            <v>0</v>
          </cell>
          <cell r="M1269">
            <v>0</v>
          </cell>
          <cell r="N1269">
            <v>276073</v>
          </cell>
          <cell r="O1269">
            <v>0</v>
          </cell>
          <cell r="P1269">
            <v>123451</v>
          </cell>
          <cell r="Q1269">
            <v>0</v>
          </cell>
          <cell r="R1269">
            <v>18953981</v>
          </cell>
        </row>
        <row r="1270">
          <cell r="B1270">
            <v>85</v>
          </cell>
          <cell r="C1270" t="str">
            <v>THAYER</v>
          </cell>
          <cell r="D1270" t="str">
            <v>CITY OR VILLAGE</v>
          </cell>
          <cell r="E1270">
            <v>747</v>
          </cell>
          <cell r="F1270" t="str">
            <v>DESHLER</v>
          </cell>
          <cell r="G1270">
            <v>391419</v>
          </cell>
          <cell r="H1270">
            <v>866645</v>
          </cell>
          <cell r="I1270">
            <v>137303</v>
          </cell>
          <cell r="J1270">
            <v>20187566</v>
          </cell>
          <cell r="K1270">
            <v>2783883</v>
          </cell>
          <cell r="L1270">
            <v>0</v>
          </cell>
          <cell r="M1270">
            <v>0</v>
          </cell>
          <cell r="N1270">
            <v>5109</v>
          </cell>
          <cell r="O1270">
            <v>0</v>
          </cell>
          <cell r="P1270">
            <v>0</v>
          </cell>
          <cell r="Q1270">
            <v>0</v>
          </cell>
          <cell r="R1270">
            <v>24371925</v>
          </cell>
        </row>
        <row r="1271">
          <cell r="B1271">
            <v>85</v>
          </cell>
          <cell r="C1271" t="str">
            <v>THAYER</v>
          </cell>
          <cell r="D1271" t="str">
            <v>CITY OR VILLAGE</v>
          </cell>
          <cell r="E1271">
            <v>39</v>
          </cell>
          <cell r="F1271" t="str">
            <v>GILEAD</v>
          </cell>
          <cell r="G1271">
            <v>1349</v>
          </cell>
          <cell r="H1271">
            <v>3075</v>
          </cell>
          <cell r="I1271">
            <v>145</v>
          </cell>
          <cell r="J1271">
            <v>596852</v>
          </cell>
          <cell r="K1271">
            <v>22303</v>
          </cell>
          <cell r="L1271">
            <v>0</v>
          </cell>
          <cell r="M1271">
            <v>0</v>
          </cell>
          <cell r="N1271">
            <v>43462</v>
          </cell>
          <cell r="O1271">
            <v>0</v>
          </cell>
          <cell r="P1271">
            <v>0</v>
          </cell>
          <cell r="Q1271">
            <v>0</v>
          </cell>
          <cell r="R1271">
            <v>667186</v>
          </cell>
        </row>
        <row r="1272">
          <cell r="B1272">
            <v>85</v>
          </cell>
          <cell r="C1272" t="str">
            <v>THAYER</v>
          </cell>
          <cell r="D1272" t="str">
            <v>CITY OR VILLAGE</v>
          </cell>
          <cell r="E1272">
            <v>1579</v>
          </cell>
          <cell r="F1272" t="str">
            <v>HEBRON</v>
          </cell>
          <cell r="G1272">
            <v>9321318</v>
          </cell>
          <cell r="H1272">
            <v>1537264</v>
          </cell>
          <cell r="I1272">
            <v>154149</v>
          </cell>
          <cell r="J1272">
            <v>53062101</v>
          </cell>
          <cell r="K1272">
            <v>12299852</v>
          </cell>
          <cell r="L1272">
            <v>2643505</v>
          </cell>
          <cell r="M1272">
            <v>0</v>
          </cell>
          <cell r="N1272">
            <v>279805</v>
          </cell>
          <cell r="O1272">
            <v>0</v>
          </cell>
          <cell r="P1272">
            <v>294672</v>
          </cell>
          <cell r="Q1272">
            <v>0</v>
          </cell>
          <cell r="R1272">
            <v>79592666</v>
          </cell>
        </row>
        <row r="1273">
          <cell r="B1273">
            <v>85</v>
          </cell>
          <cell r="C1273" t="str">
            <v>THAYER</v>
          </cell>
          <cell r="D1273" t="str">
            <v>CITY OR VILLAGE</v>
          </cell>
          <cell r="E1273">
            <v>68</v>
          </cell>
          <cell r="F1273" t="str">
            <v>HUBBELL</v>
          </cell>
          <cell r="G1273">
            <v>49674</v>
          </cell>
          <cell r="H1273">
            <v>86254</v>
          </cell>
          <cell r="I1273">
            <v>19101</v>
          </cell>
          <cell r="J1273">
            <v>978378</v>
          </cell>
          <cell r="K1273">
            <v>1002228</v>
          </cell>
          <cell r="L1273">
            <v>0</v>
          </cell>
          <cell r="M1273">
            <v>0</v>
          </cell>
          <cell r="N1273">
            <v>229829</v>
          </cell>
          <cell r="O1273">
            <v>0</v>
          </cell>
          <cell r="P1273">
            <v>7374</v>
          </cell>
          <cell r="Q1273">
            <v>0</v>
          </cell>
          <cell r="R1273">
            <v>2372838</v>
          </cell>
        </row>
        <row r="1274">
          <cell r="B1274">
            <v>85</v>
          </cell>
          <cell r="C1274" t="str">
            <v>THAYER</v>
          </cell>
          <cell r="D1274" t="str">
            <v>CITY OR VILLAGE</v>
          </cell>
        </row>
        <row r="1275">
          <cell r="B1275">
            <v>85</v>
          </cell>
          <cell r="C1275" t="str">
            <v>THAYER</v>
          </cell>
          <cell r="D1275" t="str">
            <v>CITY OR VILLAGE</v>
          </cell>
        </row>
        <row r="1276">
          <cell r="B1276">
            <v>85</v>
          </cell>
          <cell r="C1276" t="str">
            <v>THAYER</v>
          </cell>
          <cell r="D1276" t="str">
            <v>CITY OR VILLAGE</v>
          </cell>
        </row>
        <row r="1277">
          <cell r="B1277">
            <v>85</v>
          </cell>
          <cell r="C1277" t="str">
            <v>THAYER</v>
          </cell>
          <cell r="D1277" t="str">
            <v>CITY OR VILLAGE</v>
          </cell>
        </row>
        <row r="1278">
          <cell r="B1278">
            <v>86</v>
          </cell>
          <cell r="C1278" t="str">
            <v>THOMAS</v>
          </cell>
          <cell r="D1278" t="str">
            <v>CITY OR VILLAGE</v>
          </cell>
          <cell r="E1278">
            <v>76</v>
          </cell>
          <cell r="F1278" t="str">
            <v>HALSEY</v>
          </cell>
          <cell r="G1278">
            <v>39841</v>
          </cell>
          <cell r="H1278">
            <v>279391</v>
          </cell>
          <cell r="I1278">
            <v>1383835</v>
          </cell>
          <cell r="J1278">
            <v>2222101</v>
          </cell>
          <cell r="K1278">
            <v>352813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4277981</v>
          </cell>
        </row>
        <row r="1279">
          <cell r="B1279">
            <v>86</v>
          </cell>
          <cell r="C1279" t="str">
            <v>THOMAS</v>
          </cell>
          <cell r="D1279" t="str">
            <v>CITY OR VILLAGE</v>
          </cell>
          <cell r="E1279">
            <v>188</v>
          </cell>
          <cell r="F1279" t="str">
            <v>THEDFORD</v>
          </cell>
          <cell r="G1279">
            <v>941089</v>
          </cell>
          <cell r="H1279">
            <v>386599</v>
          </cell>
          <cell r="I1279">
            <v>1576526</v>
          </cell>
          <cell r="J1279">
            <v>6339047</v>
          </cell>
          <cell r="K1279">
            <v>796418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10039679</v>
          </cell>
        </row>
        <row r="1280">
          <cell r="B1280">
            <v>86</v>
          </cell>
          <cell r="C1280" t="str">
            <v>THOMAS</v>
          </cell>
          <cell r="D1280" t="str">
            <v>CITY OR VILLAGE</v>
          </cell>
        </row>
        <row r="1281">
          <cell r="B1281">
            <v>86</v>
          </cell>
          <cell r="C1281" t="str">
            <v>THOMAS</v>
          </cell>
          <cell r="D1281" t="str">
            <v>CITY OR VILLAGE</v>
          </cell>
        </row>
        <row r="1282">
          <cell r="B1282">
            <v>86</v>
          </cell>
          <cell r="C1282" t="str">
            <v>THOMAS</v>
          </cell>
          <cell r="D1282" t="str">
            <v>CITY OR VILLAGE</v>
          </cell>
        </row>
        <row r="1283">
          <cell r="B1283">
            <v>86</v>
          </cell>
          <cell r="C1283" t="str">
            <v>THOMAS</v>
          </cell>
          <cell r="D1283" t="str">
            <v>CITY OR VILLAGE</v>
          </cell>
        </row>
        <row r="1284">
          <cell r="B1284">
            <v>86</v>
          </cell>
          <cell r="C1284" t="str">
            <v>THOMAS</v>
          </cell>
          <cell r="D1284" t="str">
            <v>CITY OR VILLAGE</v>
          </cell>
        </row>
        <row r="1285">
          <cell r="B1285">
            <v>86</v>
          </cell>
          <cell r="C1285" t="str">
            <v>THOMAS</v>
          </cell>
          <cell r="D1285" t="str">
            <v>CITY OR VILLAGE</v>
          </cell>
        </row>
        <row r="1286">
          <cell r="B1286">
            <v>86</v>
          </cell>
          <cell r="C1286" t="str">
            <v>THOMAS</v>
          </cell>
          <cell r="D1286" t="str">
            <v>CITY OR VILLAGE</v>
          </cell>
        </row>
        <row r="1287">
          <cell r="B1287">
            <v>86</v>
          </cell>
          <cell r="C1287" t="str">
            <v>THOMAS</v>
          </cell>
          <cell r="D1287" t="str">
            <v>CITY OR VILLAGE</v>
          </cell>
        </row>
        <row r="1288">
          <cell r="B1288">
            <v>86</v>
          </cell>
          <cell r="C1288" t="str">
            <v>THOMAS</v>
          </cell>
          <cell r="D1288" t="str">
            <v>CITY OR VILLAGE</v>
          </cell>
        </row>
        <row r="1289">
          <cell r="B1289">
            <v>86</v>
          </cell>
          <cell r="C1289" t="str">
            <v>THOMAS</v>
          </cell>
          <cell r="D1289" t="str">
            <v>CITY OR VILLAGE</v>
          </cell>
        </row>
        <row r="1290">
          <cell r="B1290">
            <v>86</v>
          </cell>
          <cell r="C1290" t="str">
            <v>THOMAS</v>
          </cell>
          <cell r="D1290" t="str">
            <v>CITY OR VILLAGE</v>
          </cell>
        </row>
        <row r="1291">
          <cell r="B1291">
            <v>86</v>
          </cell>
          <cell r="C1291" t="str">
            <v>THOMAS</v>
          </cell>
          <cell r="D1291" t="str">
            <v>CITY OR VILLAGE</v>
          </cell>
        </row>
        <row r="1292">
          <cell r="B1292">
            <v>86</v>
          </cell>
          <cell r="C1292" t="str">
            <v>THOMAS</v>
          </cell>
          <cell r="D1292" t="str">
            <v>CITY OR VILLAGE</v>
          </cell>
        </row>
        <row r="1293">
          <cell r="B1293">
            <v>87</v>
          </cell>
          <cell r="C1293" t="str">
            <v>THURSTON</v>
          </cell>
          <cell r="D1293" t="str">
            <v>CITY OR VILLAGE</v>
          </cell>
          <cell r="E1293">
            <v>840</v>
          </cell>
          <cell r="F1293" t="str">
            <v>EMERSON</v>
          </cell>
          <cell r="G1293">
            <v>20090</v>
          </cell>
          <cell r="H1293">
            <v>101434</v>
          </cell>
          <cell r="I1293">
            <v>169861</v>
          </cell>
          <cell r="J1293">
            <v>2711420</v>
          </cell>
          <cell r="K1293">
            <v>350745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3353550</v>
          </cell>
        </row>
        <row r="1294">
          <cell r="B1294">
            <v>87</v>
          </cell>
          <cell r="C1294" t="str">
            <v>THURSTON</v>
          </cell>
          <cell r="D1294" t="str">
            <v>CITY OR VILLAGE</v>
          </cell>
          <cell r="E1294">
            <v>0</v>
          </cell>
          <cell r="F1294" t="str">
            <v>MACY</v>
          </cell>
          <cell r="G1294">
            <v>0</v>
          </cell>
          <cell r="H1294">
            <v>0</v>
          </cell>
          <cell r="I1294">
            <v>0</v>
          </cell>
          <cell r="J1294">
            <v>495010</v>
          </cell>
          <cell r="K1294">
            <v>44970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539980</v>
          </cell>
        </row>
        <row r="1295">
          <cell r="B1295">
            <v>87</v>
          </cell>
          <cell r="C1295" t="str">
            <v>THURSTON</v>
          </cell>
          <cell r="D1295" t="str">
            <v>CITY OR VILLAGE</v>
          </cell>
          <cell r="E1295">
            <v>1002</v>
          </cell>
          <cell r="F1295" t="str">
            <v>PENDER</v>
          </cell>
          <cell r="G1295">
            <v>10202956</v>
          </cell>
          <cell r="H1295">
            <v>261065</v>
          </cell>
          <cell r="I1295">
            <v>207639</v>
          </cell>
          <cell r="J1295">
            <v>45564884</v>
          </cell>
          <cell r="K1295">
            <v>7163945</v>
          </cell>
          <cell r="L1295">
            <v>1690520</v>
          </cell>
          <cell r="M1295">
            <v>0</v>
          </cell>
          <cell r="N1295">
            <v>44450</v>
          </cell>
          <cell r="O1295">
            <v>0</v>
          </cell>
          <cell r="P1295">
            <v>0</v>
          </cell>
          <cell r="Q1295">
            <v>0</v>
          </cell>
          <cell r="R1295">
            <v>65135459</v>
          </cell>
        </row>
        <row r="1296">
          <cell r="B1296">
            <v>87</v>
          </cell>
          <cell r="C1296" t="str">
            <v>THURSTON</v>
          </cell>
          <cell r="D1296" t="str">
            <v>CITY OR VILLAGE</v>
          </cell>
          <cell r="E1296">
            <v>160</v>
          </cell>
          <cell r="F1296" t="str">
            <v>ROSALIE</v>
          </cell>
          <cell r="G1296">
            <v>5333</v>
          </cell>
          <cell r="H1296">
            <v>301028</v>
          </cell>
          <cell r="I1296">
            <v>649590</v>
          </cell>
          <cell r="J1296">
            <v>1842270</v>
          </cell>
          <cell r="K1296">
            <v>161690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2959911</v>
          </cell>
        </row>
        <row r="1297">
          <cell r="B1297">
            <v>87</v>
          </cell>
          <cell r="C1297" t="str">
            <v>THURSTON</v>
          </cell>
          <cell r="D1297" t="str">
            <v>CITY OR VILLAGE</v>
          </cell>
          <cell r="E1297">
            <v>132</v>
          </cell>
          <cell r="F1297" t="str">
            <v>THURSTON</v>
          </cell>
          <cell r="G1297">
            <v>465563</v>
          </cell>
          <cell r="H1297">
            <v>68947</v>
          </cell>
          <cell r="I1297">
            <v>8412</v>
          </cell>
          <cell r="J1297">
            <v>2800600</v>
          </cell>
          <cell r="K1297">
            <v>1572035</v>
          </cell>
          <cell r="L1297">
            <v>842895</v>
          </cell>
          <cell r="M1297">
            <v>0</v>
          </cell>
          <cell r="N1297">
            <v>2425</v>
          </cell>
          <cell r="O1297">
            <v>0</v>
          </cell>
          <cell r="P1297">
            <v>0</v>
          </cell>
          <cell r="Q1297">
            <v>0</v>
          </cell>
          <cell r="R1297">
            <v>5760877</v>
          </cell>
        </row>
        <row r="1298">
          <cell r="B1298">
            <v>87</v>
          </cell>
          <cell r="C1298" t="str">
            <v>THURSTON</v>
          </cell>
          <cell r="D1298" t="str">
            <v>CITY OR VILLAGE</v>
          </cell>
          <cell r="E1298">
            <v>780</v>
          </cell>
          <cell r="F1298" t="str">
            <v>WALTHILL</v>
          </cell>
          <cell r="G1298">
            <v>131906</v>
          </cell>
          <cell r="H1298">
            <v>507226</v>
          </cell>
          <cell r="I1298">
            <v>422313</v>
          </cell>
          <cell r="J1298">
            <v>3790670</v>
          </cell>
          <cell r="K1298">
            <v>1199240</v>
          </cell>
          <cell r="L1298">
            <v>68595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6119950</v>
          </cell>
        </row>
        <row r="1299">
          <cell r="B1299">
            <v>87</v>
          </cell>
          <cell r="C1299" t="str">
            <v>THURSTON</v>
          </cell>
          <cell r="D1299" t="str">
            <v>CITY OR VILLAGE</v>
          </cell>
          <cell r="E1299">
            <v>774</v>
          </cell>
          <cell r="F1299" t="str">
            <v>WINNEBAGO</v>
          </cell>
          <cell r="G1299">
            <v>127453</v>
          </cell>
          <cell r="H1299">
            <v>348400</v>
          </cell>
          <cell r="I1299">
            <v>543536</v>
          </cell>
          <cell r="J1299">
            <v>7064245</v>
          </cell>
          <cell r="K1299">
            <v>6645360</v>
          </cell>
          <cell r="L1299">
            <v>0</v>
          </cell>
          <cell r="M1299">
            <v>0</v>
          </cell>
          <cell r="N1299">
            <v>750</v>
          </cell>
          <cell r="O1299">
            <v>0</v>
          </cell>
          <cell r="P1299">
            <v>0</v>
          </cell>
          <cell r="Q1299">
            <v>0</v>
          </cell>
          <cell r="R1299">
            <v>14729744</v>
          </cell>
        </row>
        <row r="1300">
          <cell r="B1300">
            <v>87</v>
          </cell>
          <cell r="C1300" t="str">
            <v>THURSTON</v>
          </cell>
          <cell r="D1300" t="str">
            <v>CITY OR VILLAGE</v>
          </cell>
        </row>
        <row r="1301">
          <cell r="B1301">
            <v>87</v>
          </cell>
          <cell r="C1301" t="str">
            <v>THURSTON</v>
          </cell>
          <cell r="D1301" t="str">
            <v>CITY OR VILLAGE</v>
          </cell>
        </row>
        <row r="1302">
          <cell r="B1302">
            <v>87</v>
          </cell>
          <cell r="C1302" t="str">
            <v>THURSTON</v>
          </cell>
          <cell r="D1302" t="str">
            <v>CITY OR VILLAGE</v>
          </cell>
        </row>
        <row r="1303">
          <cell r="B1303">
            <v>87</v>
          </cell>
          <cell r="C1303" t="str">
            <v>THURSTON</v>
          </cell>
          <cell r="D1303" t="str">
            <v>CITY OR VILLAGE</v>
          </cell>
        </row>
        <row r="1304">
          <cell r="B1304">
            <v>87</v>
          </cell>
          <cell r="C1304" t="str">
            <v>THURSTON</v>
          </cell>
          <cell r="D1304" t="str">
            <v>CITY OR VILLAGE</v>
          </cell>
        </row>
        <row r="1305">
          <cell r="B1305">
            <v>87</v>
          </cell>
          <cell r="C1305" t="str">
            <v>THURSTON</v>
          </cell>
          <cell r="D1305" t="str">
            <v>CITY OR VILLAGE</v>
          </cell>
        </row>
        <row r="1306">
          <cell r="B1306">
            <v>87</v>
          </cell>
          <cell r="C1306" t="str">
            <v>THURSTON</v>
          </cell>
          <cell r="D1306" t="str">
            <v>CITY OR VILLAGE</v>
          </cell>
        </row>
        <row r="1307">
          <cell r="B1307">
            <v>87</v>
          </cell>
          <cell r="C1307" t="str">
            <v>THURSTON</v>
          </cell>
          <cell r="D1307" t="str">
            <v>CITY OR VILLAGE</v>
          </cell>
        </row>
        <row r="1308">
          <cell r="B1308">
            <v>88</v>
          </cell>
          <cell r="C1308" t="str">
            <v>VALLEY</v>
          </cell>
          <cell r="D1308" t="str">
            <v>CITY OR VILLAGE</v>
          </cell>
          <cell r="E1308">
            <v>311</v>
          </cell>
          <cell r="F1308" t="str">
            <v>ARCADIA</v>
          </cell>
          <cell r="G1308">
            <v>2538132</v>
          </cell>
          <cell r="H1308">
            <v>367861</v>
          </cell>
          <cell r="I1308">
            <v>43636</v>
          </cell>
          <cell r="J1308">
            <v>8931440</v>
          </cell>
          <cell r="K1308">
            <v>2382560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14263629</v>
          </cell>
        </row>
        <row r="1309">
          <cell r="B1309">
            <v>88</v>
          </cell>
          <cell r="C1309" t="str">
            <v>VALLEY</v>
          </cell>
          <cell r="D1309" t="str">
            <v>CITY OR VILLAGE</v>
          </cell>
          <cell r="E1309">
            <v>51</v>
          </cell>
          <cell r="F1309" t="str">
            <v>ELYRIA</v>
          </cell>
          <cell r="G1309">
            <v>33570</v>
          </cell>
          <cell r="H1309">
            <v>30423</v>
          </cell>
          <cell r="I1309">
            <v>3680</v>
          </cell>
          <cell r="J1309">
            <v>1892885</v>
          </cell>
          <cell r="K1309">
            <v>376280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2336838</v>
          </cell>
        </row>
        <row r="1310">
          <cell r="B1310">
            <v>88</v>
          </cell>
          <cell r="C1310" t="str">
            <v>VALLEY</v>
          </cell>
          <cell r="D1310" t="str">
            <v>CITY OR VILLAGE</v>
          </cell>
          <cell r="E1310">
            <v>297</v>
          </cell>
          <cell r="F1310" t="str">
            <v>NORTH LOUP</v>
          </cell>
          <cell r="G1310">
            <v>1114155</v>
          </cell>
          <cell r="H1310">
            <v>418026</v>
          </cell>
          <cell r="I1310">
            <v>453835</v>
          </cell>
          <cell r="J1310">
            <v>5859220</v>
          </cell>
          <cell r="K1310">
            <v>3974725</v>
          </cell>
          <cell r="L1310">
            <v>156340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11976301</v>
          </cell>
        </row>
        <row r="1311">
          <cell r="B1311">
            <v>88</v>
          </cell>
          <cell r="C1311" t="str">
            <v>VALLEY</v>
          </cell>
          <cell r="D1311" t="str">
            <v>CITY OR VILLAGE</v>
          </cell>
          <cell r="E1311">
            <v>2112</v>
          </cell>
          <cell r="F1311" t="str">
            <v>ORD</v>
          </cell>
          <cell r="G1311">
            <v>9958683</v>
          </cell>
          <cell r="H1311">
            <v>1969341</v>
          </cell>
          <cell r="I1311">
            <v>1378191</v>
          </cell>
          <cell r="J1311">
            <v>66583320</v>
          </cell>
          <cell r="K1311">
            <v>23196665</v>
          </cell>
          <cell r="L1311">
            <v>14113005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117199205</v>
          </cell>
        </row>
        <row r="1312">
          <cell r="B1312">
            <v>88</v>
          </cell>
          <cell r="C1312" t="str">
            <v>VALLEY</v>
          </cell>
          <cell r="D1312" t="str">
            <v>CITY OR VILLAGE</v>
          </cell>
        </row>
        <row r="1313">
          <cell r="B1313">
            <v>88</v>
          </cell>
          <cell r="C1313" t="str">
            <v>VALLEY</v>
          </cell>
          <cell r="D1313" t="str">
            <v>CITY OR VILLAGE</v>
          </cell>
        </row>
        <row r="1314">
          <cell r="B1314">
            <v>88</v>
          </cell>
          <cell r="C1314" t="str">
            <v>VALLEY</v>
          </cell>
          <cell r="D1314" t="str">
            <v>CITY OR VILLAGE</v>
          </cell>
        </row>
        <row r="1315">
          <cell r="B1315">
            <v>88</v>
          </cell>
          <cell r="C1315" t="str">
            <v>VALLEY</v>
          </cell>
          <cell r="D1315" t="str">
            <v>CITY OR VILLAGE</v>
          </cell>
        </row>
        <row r="1316">
          <cell r="B1316">
            <v>88</v>
          </cell>
          <cell r="C1316" t="str">
            <v>VALLEY</v>
          </cell>
          <cell r="D1316" t="str">
            <v>CITY OR VILLAGE</v>
          </cell>
        </row>
        <row r="1317">
          <cell r="B1317">
            <v>88</v>
          </cell>
          <cell r="C1317" t="str">
            <v>VALLEY</v>
          </cell>
          <cell r="D1317" t="str">
            <v>CITY OR VILLAGE</v>
          </cell>
        </row>
        <row r="1318">
          <cell r="B1318">
            <v>88</v>
          </cell>
          <cell r="C1318" t="str">
            <v>VALLEY</v>
          </cell>
          <cell r="D1318" t="str">
            <v>CITY OR VILLAGE</v>
          </cell>
        </row>
        <row r="1319">
          <cell r="B1319">
            <v>88</v>
          </cell>
          <cell r="C1319" t="str">
            <v>VALLEY</v>
          </cell>
          <cell r="D1319" t="str">
            <v>CITY OR VILLAGE</v>
          </cell>
        </row>
        <row r="1320">
          <cell r="B1320">
            <v>88</v>
          </cell>
          <cell r="C1320" t="str">
            <v>VALLEY</v>
          </cell>
          <cell r="D1320" t="str">
            <v>CITY OR VILLAGE</v>
          </cell>
        </row>
        <row r="1321">
          <cell r="B1321">
            <v>88</v>
          </cell>
          <cell r="C1321" t="str">
            <v>VALLEY</v>
          </cell>
          <cell r="D1321" t="str">
            <v>CITY OR VILLAGE</v>
          </cell>
        </row>
        <row r="1322">
          <cell r="B1322">
            <v>88</v>
          </cell>
          <cell r="C1322" t="str">
            <v>VALLEY</v>
          </cell>
          <cell r="D1322" t="str">
            <v>CITY OR VILLAGE</v>
          </cell>
        </row>
        <row r="1323">
          <cell r="B1323">
            <v>89</v>
          </cell>
          <cell r="C1323" t="str">
            <v>WASHINGTON</v>
          </cell>
          <cell r="D1323" t="str">
            <v>CITY OR VILLAGE</v>
          </cell>
          <cell r="E1323">
            <v>1243</v>
          </cell>
          <cell r="F1323" t="str">
            <v>ARLINGTON</v>
          </cell>
          <cell r="G1323">
            <v>290260</v>
          </cell>
          <cell r="H1323">
            <v>626462</v>
          </cell>
          <cell r="I1323">
            <v>825063</v>
          </cell>
          <cell r="J1323">
            <v>79427860</v>
          </cell>
          <cell r="K1323">
            <v>5016475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86186120</v>
          </cell>
        </row>
        <row r="1324">
          <cell r="B1324">
            <v>89</v>
          </cell>
          <cell r="C1324" t="str">
            <v>WASHINGTON</v>
          </cell>
          <cell r="D1324" t="str">
            <v>CITY OR VILLAGE</v>
          </cell>
          <cell r="E1324">
            <v>7990</v>
          </cell>
          <cell r="F1324" t="str">
            <v>BLAIR</v>
          </cell>
          <cell r="G1324">
            <v>15831747</v>
          </cell>
          <cell r="H1324">
            <v>16009729</v>
          </cell>
          <cell r="I1324">
            <v>9067041</v>
          </cell>
          <cell r="J1324">
            <v>451749130</v>
          </cell>
          <cell r="K1324">
            <v>137258470</v>
          </cell>
          <cell r="L1324">
            <v>6660825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100</v>
          </cell>
          <cell r="R1324">
            <v>636577042</v>
          </cell>
        </row>
        <row r="1325">
          <cell r="B1325">
            <v>89</v>
          </cell>
          <cell r="C1325" t="str">
            <v>WASHINGTON</v>
          </cell>
          <cell r="D1325" t="str">
            <v>CITY OR VILLAGE</v>
          </cell>
          <cell r="E1325">
            <v>908</v>
          </cell>
          <cell r="F1325" t="str">
            <v>FORT CALHOUN</v>
          </cell>
          <cell r="G1325">
            <v>2159599</v>
          </cell>
          <cell r="H1325">
            <v>427713</v>
          </cell>
          <cell r="I1325">
            <v>18318</v>
          </cell>
          <cell r="J1325">
            <v>69327375</v>
          </cell>
          <cell r="K1325">
            <v>11631250</v>
          </cell>
          <cell r="L1325">
            <v>7010660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90574915</v>
          </cell>
        </row>
        <row r="1326">
          <cell r="B1326">
            <v>89</v>
          </cell>
          <cell r="C1326" t="str">
            <v>WASHINGTON</v>
          </cell>
          <cell r="D1326" t="str">
            <v>CITY OR VILLAGE</v>
          </cell>
          <cell r="E1326">
            <v>268</v>
          </cell>
          <cell r="F1326" t="str">
            <v>HERMAN</v>
          </cell>
          <cell r="G1326">
            <v>196991</v>
          </cell>
          <cell r="H1326">
            <v>598148</v>
          </cell>
          <cell r="I1326">
            <v>132461</v>
          </cell>
          <cell r="J1326">
            <v>9010405</v>
          </cell>
          <cell r="K1326">
            <v>1518155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11456160</v>
          </cell>
        </row>
        <row r="1327">
          <cell r="B1327">
            <v>89</v>
          </cell>
          <cell r="C1327" t="str">
            <v>WASHINGTON</v>
          </cell>
          <cell r="D1327" t="str">
            <v>CITY OR VILLAGE</v>
          </cell>
          <cell r="E1327">
            <v>361</v>
          </cell>
          <cell r="F1327" t="str">
            <v>KENNARD</v>
          </cell>
          <cell r="G1327">
            <v>501219</v>
          </cell>
          <cell r="H1327">
            <v>437177</v>
          </cell>
          <cell r="I1327">
            <v>1413891</v>
          </cell>
          <cell r="J1327">
            <v>19795805</v>
          </cell>
          <cell r="K1327">
            <v>812775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22960867</v>
          </cell>
        </row>
        <row r="1328">
          <cell r="B1328">
            <v>89</v>
          </cell>
          <cell r="C1328" t="str">
            <v>WASHINGTON</v>
          </cell>
          <cell r="D1328" t="str">
            <v>CITY OR VILLAGE</v>
          </cell>
          <cell r="E1328">
            <v>150</v>
          </cell>
          <cell r="F1328" t="str">
            <v>WASHINGTON</v>
          </cell>
          <cell r="G1328">
            <v>88523</v>
          </cell>
          <cell r="H1328">
            <v>986</v>
          </cell>
          <cell r="I1328">
            <v>426</v>
          </cell>
          <cell r="J1328">
            <v>9111640</v>
          </cell>
          <cell r="K1328">
            <v>220770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9422345</v>
          </cell>
        </row>
        <row r="1329">
          <cell r="B1329">
            <v>89</v>
          </cell>
          <cell r="C1329" t="str">
            <v>WASHINGTON</v>
          </cell>
          <cell r="D1329" t="str">
            <v>CITY OR VILLAGE</v>
          </cell>
        </row>
        <row r="1330">
          <cell r="B1330">
            <v>89</v>
          </cell>
          <cell r="C1330" t="str">
            <v>WASHINGTON</v>
          </cell>
          <cell r="D1330" t="str">
            <v>CITY OR VILLAGE</v>
          </cell>
        </row>
        <row r="1331">
          <cell r="B1331">
            <v>89</v>
          </cell>
          <cell r="C1331" t="str">
            <v>WASHINGTON</v>
          </cell>
          <cell r="D1331" t="str">
            <v>CITY OR VILLAGE</v>
          </cell>
        </row>
        <row r="1332">
          <cell r="B1332">
            <v>89</v>
          </cell>
          <cell r="C1332" t="str">
            <v>WASHINGTON</v>
          </cell>
          <cell r="D1332" t="str">
            <v>CITY OR VILLAGE</v>
          </cell>
        </row>
        <row r="1333">
          <cell r="B1333">
            <v>89</v>
          </cell>
          <cell r="C1333" t="str">
            <v>WASHINGTON</v>
          </cell>
          <cell r="D1333" t="str">
            <v>CITY OR VILLAGE</v>
          </cell>
        </row>
        <row r="1334">
          <cell r="B1334">
            <v>89</v>
          </cell>
          <cell r="C1334" t="str">
            <v>WASHINGTON</v>
          </cell>
          <cell r="D1334" t="str">
            <v>CITY OR VILLAGE</v>
          </cell>
        </row>
        <row r="1335">
          <cell r="B1335">
            <v>89</v>
          </cell>
          <cell r="C1335" t="str">
            <v>WASHINGTON</v>
          </cell>
          <cell r="D1335" t="str">
            <v>CITY OR VILLAGE</v>
          </cell>
        </row>
        <row r="1336">
          <cell r="B1336">
            <v>89</v>
          </cell>
          <cell r="C1336" t="str">
            <v>WASHINGTON</v>
          </cell>
          <cell r="D1336" t="str">
            <v>CITY OR VILLAGE</v>
          </cell>
        </row>
        <row r="1337">
          <cell r="B1337">
            <v>89</v>
          </cell>
          <cell r="C1337" t="str">
            <v>WASHINGTON</v>
          </cell>
          <cell r="D1337" t="str">
            <v>CITY OR VILLAGE</v>
          </cell>
        </row>
        <row r="1338">
          <cell r="B1338">
            <v>90</v>
          </cell>
          <cell r="C1338" t="str">
            <v>WAYNE</v>
          </cell>
          <cell r="D1338" t="str">
            <v>CITY OR VILLAGE</v>
          </cell>
          <cell r="E1338">
            <v>229</v>
          </cell>
          <cell r="F1338" t="str">
            <v>CARROLL</v>
          </cell>
          <cell r="G1338">
            <v>128997</v>
          </cell>
          <cell r="H1338">
            <v>38307</v>
          </cell>
          <cell r="I1338">
            <v>1188</v>
          </cell>
          <cell r="J1338">
            <v>5936870</v>
          </cell>
          <cell r="K1338">
            <v>1060935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7166297</v>
          </cell>
        </row>
        <row r="1339">
          <cell r="B1339">
            <v>90</v>
          </cell>
          <cell r="C1339" t="str">
            <v>WAYNE</v>
          </cell>
          <cell r="D1339" t="str">
            <v>CITY OR VILLAGE</v>
          </cell>
          <cell r="E1339">
            <v>285</v>
          </cell>
          <cell r="F1339" t="str">
            <v>HOSKINS</v>
          </cell>
          <cell r="G1339">
            <v>94240</v>
          </cell>
          <cell r="H1339">
            <v>73820</v>
          </cell>
          <cell r="I1339">
            <v>2966</v>
          </cell>
          <cell r="J1339">
            <v>10371605</v>
          </cell>
          <cell r="K1339">
            <v>1313995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11856626</v>
          </cell>
        </row>
        <row r="1340">
          <cell r="B1340">
            <v>90</v>
          </cell>
          <cell r="C1340" t="str">
            <v>WAYNE</v>
          </cell>
          <cell r="D1340" t="str">
            <v>CITY OR VILLAGE</v>
          </cell>
          <cell r="E1340">
            <v>21</v>
          </cell>
          <cell r="F1340" t="str">
            <v>SHOLES</v>
          </cell>
          <cell r="G1340">
            <v>48443</v>
          </cell>
          <cell r="H1340">
            <v>226</v>
          </cell>
          <cell r="I1340">
            <v>98</v>
          </cell>
          <cell r="J1340">
            <v>557610</v>
          </cell>
          <cell r="K1340">
            <v>285515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891892</v>
          </cell>
        </row>
        <row r="1341">
          <cell r="B1341">
            <v>90</v>
          </cell>
          <cell r="C1341" t="str">
            <v>WAYNE</v>
          </cell>
          <cell r="D1341" t="str">
            <v>CITY OR VILLAGE</v>
          </cell>
          <cell r="E1341">
            <v>1451</v>
          </cell>
          <cell r="F1341" t="str">
            <v>WAKEFIELD</v>
          </cell>
          <cell r="G1341">
            <v>1574304</v>
          </cell>
          <cell r="H1341">
            <v>402283</v>
          </cell>
          <cell r="I1341">
            <v>250075</v>
          </cell>
          <cell r="J1341">
            <v>16045675</v>
          </cell>
          <cell r="K1341">
            <v>7227525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25499862</v>
          </cell>
        </row>
        <row r="1342">
          <cell r="B1342">
            <v>90</v>
          </cell>
          <cell r="C1342" t="str">
            <v>WAYNE</v>
          </cell>
          <cell r="D1342" t="str">
            <v>CITY OR VILLAGE</v>
          </cell>
          <cell r="E1342">
            <v>5666</v>
          </cell>
          <cell r="F1342" t="str">
            <v>WAYNE</v>
          </cell>
          <cell r="G1342">
            <v>8293766</v>
          </cell>
          <cell r="H1342">
            <v>2024114</v>
          </cell>
          <cell r="I1342">
            <v>581827</v>
          </cell>
          <cell r="J1342">
            <v>177684360</v>
          </cell>
          <cell r="K1342">
            <v>59132680</v>
          </cell>
          <cell r="L1342">
            <v>1539190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249255937</v>
          </cell>
        </row>
        <row r="1343">
          <cell r="B1343">
            <v>90</v>
          </cell>
          <cell r="C1343" t="str">
            <v>WAYNE</v>
          </cell>
          <cell r="D1343" t="str">
            <v>CITY OR VILLAGE</v>
          </cell>
          <cell r="E1343">
            <v>427</v>
          </cell>
          <cell r="F1343" t="str">
            <v>WINSIDE</v>
          </cell>
          <cell r="G1343">
            <v>1118038</v>
          </cell>
          <cell r="H1343">
            <v>133233</v>
          </cell>
          <cell r="I1343">
            <v>16115</v>
          </cell>
          <cell r="J1343">
            <v>12212080</v>
          </cell>
          <cell r="K1343">
            <v>1545140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15024606</v>
          </cell>
        </row>
        <row r="1344">
          <cell r="B1344">
            <v>90</v>
          </cell>
          <cell r="C1344" t="str">
            <v>WAYNE</v>
          </cell>
          <cell r="D1344" t="str">
            <v>CITY OR VILLAGE</v>
          </cell>
        </row>
        <row r="1345">
          <cell r="B1345">
            <v>90</v>
          </cell>
          <cell r="C1345" t="str">
            <v>WAYNE</v>
          </cell>
          <cell r="D1345" t="str">
            <v>CITY OR VILLAGE</v>
          </cell>
        </row>
        <row r="1346">
          <cell r="B1346">
            <v>90</v>
          </cell>
          <cell r="C1346" t="str">
            <v>WAYNE</v>
          </cell>
          <cell r="D1346" t="str">
            <v>CITY OR VILLAGE</v>
          </cell>
        </row>
        <row r="1347">
          <cell r="B1347">
            <v>90</v>
          </cell>
          <cell r="C1347" t="str">
            <v>WAYNE</v>
          </cell>
          <cell r="D1347" t="str">
            <v>CITY OR VILLAGE</v>
          </cell>
        </row>
        <row r="1348">
          <cell r="B1348">
            <v>90</v>
          </cell>
          <cell r="C1348" t="str">
            <v>WAYNE</v>
          </cell>
          <cell r="D1348" t="str">
            <v>CITY OR VILLAGE</v>
          </cell>
        </row>
        <row r="1349">
          <cell r="B1349">
            <v>90</v>
          </cell>
          <cell r="C1349" t="str">
            <v>WAYNE</v>
          </cell>
          <cell r="D1349" t="str">
            <v>CITY OR VILLAGE</v>
          </cell>
        </row>
        <row r="1350">
          <cell r="B1350">
            <v>90</v>
          </cell>
          <cell r="C1350" t="str">
            <v>WAYNE</v>
          </cell>
          <cell r="D1350" t="str">
            <v>CITY OR VILLAGE</v>
          </cell>
        </row>
        <row r="1351">
          <cell r="B1351">
            <v>90</v>
          </cell>
          <cell r="C1351" t="str">
            <v>WAYNE</v>
          </cell>
          <cell r="D1351" t="str">
            <v>CITY OR VILLAGE</v>
          </cell>
        </row>
        <row r="1352">
          <cell r="B1352">
            <v>90</v>
          </cell>
          <cell r="C1352" t="str">
            <v>WAYNE</v>
          </cell>
          <cell r="D1352" t="str">
            <v>CITY OR VILLAGE</v>
          </cell>
        </row>
        <row r="1353">
          <cell r="B1353">
            <v>91</v>
          </cell>
          <cell r="C1353" t="str">
            <v>WEBSTER</v>
          </cell>
          <cell r="D1353" t="str">
            <v>CITY OR VILLAGE</v>
          </cell>
          <cell r="E1353">
            <v>237</v>
          </cell>
          <cell r="F1353" t="str">
            <v>BLADEN</v>
          </cell>
          <cell r="G1353">
            <v>815149</v>
          </cell>
          <cell r="H1353">
            <v>80841</v>
          </cell>
          <cell r="I1353">
            <v>9778</v>
          </cell>
          <cell r="J1353">
            <v>4607860</v>
          </cell>
          <cell r="K1353">
            <v>1371265</v>
          </cell>
          <cell r="L1353">
            <v>0</v>
          </cell>
          <cell r="M1353">
            <v>0</v>
          </cell>
          <cell r="N1353">
            <v>115875</v>
          </cell>
          <cell r="O1353">
            <v>0</v>
          </cell>
          <cell r="P1353">
            <v>126010</v>
          </cell>
          <cell r="Q1353">
            <v>0</v>
          </cell>
          <cell r="R1353">
            <v>7126778</v>
          </cell>
        </row>
        <row r="1354">
          <cell r="B1354">
            <v>91</v>
          </cell>
          <cell r="C1354" t="str">
            <v>WEBSTER</v>
          </cell>
          <cell r="D1354" t="str">
            <v>CITY OR VILLAGE</v>
          </cell>
          <cell r="E1354">
            <v>941</v>
          </cell>
          <cell r="F1354" t="str">
            <v>BLUE HILL</v>
          </cell>
          <cell r="G1354">
            <v>789589</v>
          </cell>
          <cell r="H1354">
            <v>778587</v>
          </cell>
          <cell r="I1354">
            <v>500434</v>
          </cell>
          <cell r="J1354">
            <v>29808725</v>
          </cell>
          <cell r="K1354">
            <v>4628635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36505970</v>
          </cell>
        </row>
        <row r="1355">
          <cell r="B1355">
            <v>91</v>
          </cell>
          <cell r="C1355" t="str">
            <v>WEBSTER</v>
          </cell>
          <cell r="D1355" t="str">
            <v>CITY OR VILLAGE</v>
          </cell>
          <cell r="E1355">
            <v>30</v>
          </cell>
          <cell r="F1355" t="str">
            <v>COWLES</v>
          </cell>
          <cell r="G1355">
            <v>219052</v>
          </cell>
          <cell r="H1355">
            <v>71841</v>
          </cell>
          <cell r="I1355">
            <v>399362</v>
          </cell>
          <cell r="J1355">
            <v>412860</v>
          </cell>
          <cell r="K1355">
            <v>122835</v>
          </cell>
          <cell r="L1355">
            <v>0</v>
          </cell>
          <cell r="M1355">
            <v>0</v>
          </cell>
          <cell r="N1355">
            <v>382600</v>
          </cell>
          <cell r="O1355">
            <v>0</v>
          </cell>
          <cell r="P1355">
            <v>59895</v>
          </cell>
          <cell r="Q1355">
            <v>0</v>
          </cell>
          <cell r="R1355">
            <v>1668445</v>
          </cell>
        </row>
        <row r="1356">
          <cell r="B1356">
            <v>91</v>
          </cell>
          <cell r="C1356" t="str">
            <v>WEBSTER</v>
          </cell>
          <cell r="D1356" t="str">
            <v>CITY OR VILLAGE</v>
          </cell>
          <cell r="E1356">
            <v>225</v>
          </cell>
          <cell r="F1356" t="str">
            <v>GUIDE ROCK</v>
          </cell>
          <cell r="G1356">
            <v>470912</v>
          </cell>
          <cell r="H1356">
            <v>307914</v>
          </cell>
          <cell r="I1356">
            <v>399960</v>
          </cell>
          <cell r="J1356">
            <v>3606265</v>
          </cell>
          <cell r="K1356">
            <v>386045</v>
          </cell>
          <cell r="L1356">
            <v>0</v>
          </cell>
          <cell r="M1356">
            <v>0</v>
          </cell>
          <cell r="N1356">
            <v>148630</v>
          </cell>
          <cell r="O1356">
            <v>0</v>
          </cell>
          <cell r="P1356">
            <v>0</v>
          </cell>
          <cell r="Q1356">
            <v>0</v>
          </cell>
          <cell r="R1356">
            <v>5319726</v>
          </cell>
        </row>
        <row r="1357">
          <cell r="B1357">
            <v>91</v>
          </cell>
          <cell r="C1357" t="str">
            <v>WEBSTER</v>
          </cell>
          <cell r="D1357" t="str">
            <v>CITY OR VILLAGE</v>
          </cell>
          <cell r="E1357">
            <v>1020</v>
          </cell>
          <cell r="F1357" t="str">
            <v>RED CLOUD</v>
          </cell>
          <cell r="G1357">
            <v>1057168</v>
          </cell>
          <cell r="H1357">
            <v>1774196</v>
          </cell>
          <cell r="I1357">
            <v>1009163</v>
          </cell>
          <cell r="J1357">
            <v>22761555</v>
          </cell>
          <cell r="K1357">
            <v>4013055</v>
          </cell>
          <cell r="L1357">
            <v>0</v>
          </cell>
          <cell r="M1357">
            <v>298710</v>
          </cell>
          <cell r="N1357">
            <v>125260</v>
          </cell>
          <cell r="O1357">
            <v>0</v>
          </cell>
          <cell r="P1357">
            <v>35980</v>
          </cell>
          <cell r="Q1357">
            <v>0</v>
          </cell>
          <cell r="R1357">
            <v>31075087</v>
          </cell>
        </row>
        <row r="1358">
          <cell r="B1358">
            <v>91</v>
          </cell>
          <cell r="C1358" t="str">
            <v>WEBSTER</v>
          </cell>
          <cell r="D1358" t="str">
            <v>CITY OR VILLAGE</v>
          </cell>
        </row>
        <row r="1359">
          <cell r="B1359">
            <v>91</v>
          </cell>
          <cell r="C1359" t="str">
            <v>WEBSTER</v>
          </cell>
          <cell r="D1359" t="str">
            <v>CITY OR VILLAGE</v>
          </cell>
        </row>
        <row r="1360">
          <cell r="B1360">
            <v>91</v>
          </cell>
          <cell r="C1360" t="str">
            <v>WEBSTER</v>
          </cell>
          <cell r="D1360" t="str">
            <v>CITY OR VILLAGE</v>
          </cell>
        </row>
        <row r="1361">
          <cell r="B1361">
            <v>91</v>
          </cell>
          <cell r="C1361" t="str">
            <v>WEBSTER</v>
          </cell>
          <cell r="D1361" t="str">
            <v>CITY OR VILLAGE</v>
          </cell>
        </row>
        <row r="1362">
          <cell r="B1362">
            <v>91</v>
          </cell>
          <cell r="C1362" t="str">
            <v>WEBSTER</v>
          </cell>
          <cell r="D1362" t="str">
            <v>CITY OR VILLAGE</v>
          </cell>
        </row>
        <row r="1363">
          <cell r="B1363">
            <v>91</v>
          </cell>
          <cell r="C1363" t="str">
            <v>WEBSTER</v>
          </cell>
          <cell r="D1363" t="str">
            <v>CITY OR VILLAGE</v>
          </cell>
        </row>
        <row r="1364">
          <cell r="B1364">
            <v>91</v>
          </cell>
          <cell r="C1364" t="str">
            <v>WEBSTER</v>
          </cell>
          <cell r="D1364" t="str">
            <v>CITY OR VILLAGE</v>
          </cell>
        </row>
        <row r="1365">
          <cell r="B1365">
            <v>91</v>
          </cell>
          <cell r="C1365" t="str">
            <v>WEBSTER</v>
          </cell>
          <cell r="D1365" t="str">
            <v>CITY OR VILLAGE</v>
          </cell>
        </row>
        <row r="1366">
          <cell r="B1366">
            <v>91</v>
          </cell>
          <cell r="C1366" t="str">
            <v>WEBSTER</v>
          </cell>
          <cell r="D1366" t="str">
            <v>CITY OR VILLAGE</v>
          </cell>
        </row>
        <row r="1367">
          <cell r="B1367">
            <v>91</v>
          </cell>
          <cell r="C1367" t="str">
            <v>WEBSTER</v>
          </cell>
          <cell r="D1367" t="str">
            <v>CITY OR VILLAGE</v>
          </cell>
        </row>
        <row r="1368">
          <cell r="B1368">
            <v>92</v>
          </cell>
          <cell r="C1368" t="str">
            <v>WHEELER</v>
          </cell>
          <cell r="D1368" t="str">
            <v>CITY OR VILLAGE</v>
          </cell>
          <cell r="E1368">
            <v>117</v>
          </cell>
          <cell r="F1368" t="str">
            <v>BARTLETT</v>
          </cell>
          <cell r="G1368">
            <v>232687</v>
          </cell>
          <cell r="H1368">
            <v>0</v>
          </cell>
          <cell r="I1368">
            <v>0</v>
          </cell>
          <cell r="J1368">
            <v>3447890</v>
          </cell>
          <cell r="K1368">
            <v>515470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4196047</v>
          </cell>
        </row>
        <row r="1369">
          <cell r="B1369">
            <v>92</v>
          </cell>
          <cell r="C1369" t="str">
            <v>WHEELER</v>
          </cell>
          <cell r="D1369" t="str">
            <v>CITY OR VILLAGE</v>
          </cell>
          <cell r="E1369">
            <v>92</v>
          </cell>
          <cell r="F1369" t="str">
            <v>ERICSON</v>
          </cell>
          <cell r="G1369">
            <v>196156</v>
          </cell>
          <cell r="H1369">
            <v>71575</v>
          </cell>
          <cell r="I1369">
            <v>3730</v>
          </cell>
          <cell r="J1369">
            <v>3365050</v>
          </cell>
          <cell r="K1369">
            <v>850805</v>
          </cell>
          <cell r="L1369">
            <v>0</v>
          </cell>
          <cell r="M1369">
            <v>0</v>
          </cell>
          <cell r="N1369">
            <v>5400</v>
          </cell>
          <cell r="O1369">
            <v>73925</v>
          </cell>
          <cell r="P1369">
            <v>1000</v>
          </cell>
          <cell r="Q1369">
            <v>0</v>
          </cell>
          <cell r="R1369">
            <v>4567641</v>
          </cell>
        </row>
        <row r="1370">
          <cell r="B1370">
            <v>92</v>
          </cell>
          <cell r="C1370" t="str">
            <v>WHEELER</v>
          </cell>
          <cell r="D1370" t="str">
            <v>CITY OR VILLAGE</v>
          </cell>
        </row>
        <row r="1371">
          <cell r="B1371">
            <v>92</v>
          </cell>
          <cell r="C1371" t="str">
            <v>WHEELER</v>
          </cell>
          <cell r="D1371" t="str">
            <v>CITY OR VILLAGE</v>
          </cell>
        </row>
        <row r="1372">
          <cell r="B1372">
            <v>92</v>
          </cell>
          <cell r="C1372" t="str">
            <v>WHEELER</v>
          </cell>
          <cell r="D1372" t="str">
            <v>CITY OR VILLAGE</v>
          </cell>
        </row>
        <row r="1373">
          <cell r="B1373">
            <v>92</v>
          </cell>
          <cell r="C1373" t="str">
            <v>WHEELER</v>
          </cell>
          <cell r="D1373" t="str">
            <v>CITY OR VILLAGE</v>
          </cell>
        </row>
        <row r="1374">
          <cell r="B1374">
            <v>92</v>
          </cell>
          <cell r="C1374" t="str">
            <v>WHEELER</v>
          </cell>
          <cell r="D1374" t="str">
            <v>CITY OR VILLAGE</v>
          </cell>
        </row>
        <row r="1375">
          <cell r="B1375">
            <v>92</v>
          </cell>
          <cell r="C1375" t="str">
            <v>WHEELER</v>
          </cell>
          <cell r="D1375" t="str">
            <v>CITY OR VILLAGE</v>
          </cell>
        </row>
        <row r="1376">
          <cell r="B1376">
            <v>92</v>
          </cell>
          <cell r="C1376" t="str">
            <v>WHEELER</v>
          </cell>
          <cell r="D1376" t="str">
            <v>CITY OR VILLAGE</v>
          </cell>
        </row>
        <row r="1377">
          <cell r="B1377">
            <v>92</v>
          </cell>
          <cell r="C1377" t="str">
            <v>WHEELER</v>
          </cell>
          <cell r="D1377" t="str">
            <v>CITY OR VILLAGE</v>
          </cell>
        </row>
        <row r="1378">
          <cell r="B1378">
            <v>92</v>
          </cell>
          <cell r="C1378" t="str">
            <v>WHEELER</v>
          </cell>
          <cell r="D1378" t="str">
            <v>CITY OR VILLAGE</v>
          </cell>
        </row>
        <row r="1379">
          <cell r="B1379">
            <v>92</v>
          </cell>
          <cell r="C1379" t="str">
            <v>WHEELER</v>
          </cell>
          <cell r="D1379" t="str">
            <v>CITY OR VILLAGE</v>
          </cell>
        </row>
        <row r="1380">
          <cell r="B1380">
            <v>92</v>
          </cell>
          <cell r="C1380" t="str">
            <v>WHEELER</v>
          </cell>
          <cell r="D1380" t="str">
            <v>CITY OR VILLAGE</v>
          </cell>
        </row>
        <row r="1381">
          <cell r="B1381">
            <v>92</v>
          </cell>
          <cell r="C1381" t="str">
            <v>WHEELER</v>
          </cell>
          <cell r="D1381" t="str">
            <v>CITY OR VILLAGE</v>
          </cell>
        </row>
        <row r="1382">
          <cell r="B1382">
            <v>92</v>
          </cell>
          <cell r="C1382" t="str">
            <v>WHEELER</v>
          </cell>
          <cell r="D1382" t="str">
            <v>CITY OR VILLAGE</v>
          </cell>
        </row>
        <row r="1383">
          <cell r="B1383">
            <v>93</v>
          </cell>
          <cell r="C1383" t="str">
            <v>YORK</v>
          </cell>
          <cell r="D1383" t="str">
            <v>CITY OR VILLAGE</v>
          </cell>
          <cell r="E1383">
            <v>234</v>
          </cell>
          <cell r="F1383" t="str">
            <v>BENEDICT</v>
          </cell>
          <cell r="G1383">
            <v>432970</v>
          </cell>
          <cell r="H1383">
            <v>131381</v>
          </cell>
          <cell r="I1383">
            <v>168896</v>
          </cell>
          <cell r="J1383">
            <v>6134476</v>
          </cell>
          <cell r="K1383">
            <v>2112833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8980556</v>
          </cell>
        </row>
        <row r="1384">
          <cell r="B1384">
            <v>93</v>
          </cell>
          <cell r="C1384" t="str">
            <v>YORK</v>
          </cell>
          <cell r="D1384" t="str">
            <v>CITY OR VILLAGE</v>
          </cell>
          <cell r="E1384">
            <v>273</v>
          </cell>
          <cell r="F1384" t="str">
            <v>BRADSHAW</v>
          </cell>
          <cell r="G1384">
            <v>713631</v>
          </cell>
          <cell r="H1384">
            <v>469933</v>
          </cell>
          <cell r="I1384">
            <v>1568060</v>
          </cell>
          <cell r="J1384">
            <v>8457539</v>
          </cell>
          <cell r="K1384">
            <v>5407795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16616958</v>
          </cell>
        </row>
        <row r="1385">
          <cell r="B1385">
            <v>93</v>
          </cell>
          <cell r="C1385" t="str">
            <v>YORK</v>
          </cell>
          <cell r="D1385" t="str">
            <v>CITY OR VILLAGE</v>
          </cell>
          <cell r="E1385">
            <v>223</v>
          </cell>
          <cell r="F1385" t="str">
            <v>GRESHAM</v>
          </cell>
          <cell r="G1385">
            <v>117550</v>
          </cell>
          <cell r="H1385">
            <v>41763</v>
          </cell>
          <cell r="I1385">
            <v>1973</v>
          </cell>
          <cell r="J1385">
            <v>4297296</v>
          </cell>
          <cell r="K1385">
            <v>2224291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6682873</v>
          </cell>
        </row>
        <row r="1386">
          <cell r="B1386">
            <v>93</v>
          </cell>
          <cell r="C1386" t="str">
            <v>YORK</v>
          </cell>
          <cell r="D1386" t="str">
            <v>CITY OR VILLAGE</v>
          </cell>
          <cell r="E1386">
            <v>991</v>
          </cell>
          <cell r="F1386" t="str">
            <v>HENDERSON</v>
          </cell>
          <cell r="G1386">
            <v>1881852</v>
          </cell>
          <cell r="H1386">
            <v>233130</v>
          </cell>
          <cell r="I1386">
            <v>29163</v>
          </cell>
          <cell r="J1386">
            <v>50070485</v>
          </cell>
          <cell r="K1386">
            <v>9249555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61464185</v>
          </cell>
        </row>
        <row r="1387">
          <cell r="B1387">
            <v>93</v>
          </cell>
          <cell r="C1387" t="str">
            <v>YORK</v>
          </cell>
          <cell r="D1387" t="str">
            <v>CITY OR VILLAGE</v>
          </cell>
          <cell r="E1387">
            <v>30</v>
          </cell>
          <cell r="F1387" t="str">
            <v>LUSHTON</v>
          </cell>
          <cell r="G1387">
            <v>28434</v>
          </cell>
          <cell r="H1387">
            <v>3965</v>
          </cell>
          <cell r="I1387">
            <v>187</v>
          </cell>
          <cell r="J1387">
            <v>955319</v>
          </cell>
          <cell r="K1387">
            <v>2141024</v>
          </cell>
          <cell r="L1387">
            <v>0</v>
          </cell>
          <cell r="M1387">
            <v>0</v>
          </cell>
          <cell r="N1387">
            <v>425772</v>
          </cell>
          <cell r="O1387">
            <v>0</v>
          </cell>
          <cell r="P1387">
            <v>2397</v>
          </cell>
          <cell r="Q1387">
            <v>0</v>
          </cell>
          <cell r="R1387">
            <v>3557098</v>
          </cell>
        </row>
        <row r="1388">
          <cell r="B1388">
            <v>93</v>
          </cell>
          <cell r="C1388" t="str">
            <v>YORK</v>
          </cell>
          <cell r="D1388" t="str">
            <v>CITY OR VILLAGE</v>
          </cell>
          <cell r="E1388">
            <v>409</v>
          </cell>
          <cell r="F1388" t="str">
            <v>MCCOOL JUNCTION</v>
          </cell>
          <cell r="G1388">
            <v>383782</v>
          </cell>
          <cell r="H1388">
            <v>48647</v>
          </cell>
          <cell r="I1388">
            <v>2299</v>
          </cell>
          <cell r="J1388">
            <v>17168054</v>
          </cell>
          <cell r="K1388">
            <v>4823367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22426149</v>
          </cell>
        </row>
        <row r="1389">
          <cell r="B1389">
            <v>93</v>
          </cell>
          <cell r="C1389" t="str">
            <v>YORK</v>
          </cell>
          <cell r="D1389" t="str">
            <v>CITY OR VILLAGE</v>
          </cell>
          <cell r="E1389">
            <v>62</v>
          </cell>
          <cell r="F1389" t="str">
            <v>THAYER</v>
          </cell>
          <cell r="G1389">
            <v>166389</v>
          </cell>
          <cell r="H1389">
            <v>5319</v>
          </cell>
          <cell r="I1389">
            <v>251</v>
          </cell>
          <cell r="J1389">
            <v>1328532</v>
          </cell>
          <cell r="K1389">
            <v>450861</v>
          </cell>
          <cell r="L1389">
            <v>0</v>
          </cell>
          <cell r="M1389">
            <v>0</v>
          </cell>
          <cell r="N1389">
            <v>366933</v>
          </cell>
          <cell r="O1389">
            <v>0</v>
          </cell>
          <cell r="P1389">
            <v>5200</v>
          </cell>
          <cell r="Q1389">
            <v>0</v>
          </cell>
          <cell r="R1389">
            <v>2323485</v>
          </cell>
        </row>
        <row r="1390">
          <cell r="B1390">
            <v>93</v>
          </cell>
          <cell r="C1390" t="str">
            <v>YORK</v>
          </cell>
          <cell r="D1390" t="str">
            <v>CITY OR VILLAGE</v>
          </cell>
          <cell r="E1390">
            <v>236</v>
          </cell>
          <cell r="F1390" t="str">
            <v>WACO</v>
          </cell>
          <cell r="G1390">
            <v>75154</v>
          </cell>
          <cell r="H1390">
            <v>340608</v>
          </cell>
          <cell r="I1390">
            <v>1049255</v>
          </cell>
          <cell r="J1390">
            <v>11443152</v>
          </cell>
          <cell r="K1390">
            <v>1927555</v>
          </cell>
          <cell r="L1390">
            <v>958162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15793886</v>
          </cell>
        </row>
        <row r="1391">
          <cell r="B1391">
            <v>93</v>
          </cell>
          <cell r="C1391" t="str">
            <v>YORK</v>
          </cell>
          <cell r="D1391" t="str">
            <v>CITY OR VILLAGE</v>
          </cell>
          <cell r="E1391">
            <v>7768</v>
          </cell>
          <cell r="F1391" t="str">
            <v>YORK</v>
          </cell>
          <cell r="G1391">
            <v>32832107</v>
          </cell>
          <cell r="H1391">
            <v>4898018</v>
          </cell>
          <cell r="I1391">
            <v>5662031</v>
          </cell>
          <cell r="J1391">
            <v>353315233</v>
          </cell>
          <cell r="K1391">
            <v>171886952</v>
          </cell>
          <cell r="L1391">
            <v>12483369</v>
          </cell>
          <cell r="M1391">
            <v>0</v>
          </cell>
          <cell r="N1391">
            <v>43110</v>
          </cell>
          <cell r="O1391">
            <v>0</v>
          </cell>
          <cell r="P1391">
            <v>0</v>
          </cell>
          <cell r="Q1391">
            <v>0</v>
          </cell>
          <cell r="R1391">
            <v>581120820</v>
          </cell>
        </row>
        <row r="1392">
          <cell r="B1392">
            <v>93</v>
          </cell>
          <cell r="C1392" t="str">
            <v>YORK</v>
          </cell>
          <cell r="D1392" t="str">
            <v>CITY OR VILLAGE</v>
          </cell>
        </row>
        <row r="1393">
          <cell r="B1393">
            <v>93</v>
          </cell>
          <cell r="C1393" t="str">
            <v>YORK</v>
          </cell>
          <cell r="D1393" t="str">
            <v>CITY OR VILLAGE</v>
          </cell>
        </row>
        <row r="1394">
          <cell r="B1394">
            <v>93</v>
          </cell>
          <cell r="C1394" t="str">
            <v>YORK</v>
          </cell>
          <cell r="D1394" t="str">
            <v>CITY OR VILLAGE</v>
          </cell>
        </row>
        <row r="1395">
          <cell r="B1395">
            <v>93</v>
          </cell>
          <cell r="C1395" t="str">
            <v>YORK</v>
          </cell>
          <cell r="D1395" t="str">
            <v>CITY OR VILLAGE</v>
          </cell>
        </row>
        <row r="1396">
          <cell r="B1396">
            <v>93</v>
          </cell>
          <cell r="C1396" t="str">
            <v>YORK</v>
          </cell>
          <cell r="D1396" t="str">
            <v>CITY OR VILLAGE</v>
          </cell>
        </row>
        <row r="1397">
          <cell r="B1397">
            <v>93</v>
          </cell>
          <cell r="C1397" t="str">
            <v>YORK</v>
          </cell>
          <cell r="D1397" t="str">
            <v>CITY OR VILLAGE</v>
          </cell>
        </row>
        <row r="1398">
          <cell r="B1398">
            <v>94</v>
          </cell>
          <cell r="C1398" t="str">
            <v>StateTotals</v>
          </cell>
          <cell r="D1398" t="str">
            <v>Total All Cities</v>
          </cell>
          <cell r="G1398">
            <v>4625531073</v>
          </cell>
          <cell r="H1398">
            <v>1159409304</v>
          </cell>
          <cell r="I1398">
            <v>1257873369</v>
          </cell>
          <cell r="J1398">
            <v>72913536003</v>
          </cell>
          <cell r="K1398">
            <v>28840021690</v>
          </cell>
          <cell r="L1398">
            <v>4253447456</v>
          </cell>
          <cell r="M1398">
            <v>2029559</v>
          </cell>
          <cell r="N1398">
            <v>55541998</v>
          </cell>
          <cell r="O1398">
            <v>6440431</v>
          </cell>
          <cell r="P1398">
            <v>6458343</v>
          </cell>
          <cell r="Q1398">
            <v>41400</v>
          </cell>
          <cell r="R1398">
            <v>113120330626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9">
      <selection activeCell="J27" sqref="J27:L27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8" t="s">
        <v>3</v>
      </c>
      <c r="K27" s="299"/>
      <c r="L27" s="299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162792065</v>
      </c>
      <c r="C29" s="20" t="s">
        <v>9</v>
      </c>
      <c r="D29" s="20" t="s">
        <v>9</v>
      </c>
      <c r="E29" s="21" t="s">
        <v>9</v>
      </c>
      <c r="F29" s="19">
        <v>60950435</v>
      </c>
      <c r="G29" s="20" t="s">
        <v>9</v>
      </c>
      <c r="H29" s="20" t="s">
        <v>9</v>
      </c>
      <c r="I29" s="22" t="s">
        <v>9</v>
      </c>
      <c r="J29" s="19">
        <v>687910815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165496375</v>
      </c>
      <c r="C30" s="29">
        <v>2704310</v>
      </c>
      <c r="D30" s="30">
        <v>0.016612050470641796</v>
      </c>
      <c r="E30" s="31">
        <v>0.016612050470641796</v>
      </c>
      <c r="F30" s="28">
        <v>68900365</v>
      </c>
      <c r="G30" s="29">
        <v>7949930</v>
      </c>
      <c r="H30" s="30">
        <v>0.13043270322845113</v>
      </c>
      <c r="I30" s="32">
        <v>0.13043270322845113</v>
      </c>
      <c r="J30" s="28">
        <v>781644925</v>
      </c>
      <c r="K30" s="29">
        <v>93734110</v>
      </c>
      <c r="L30" s="30">
        <v>0.13625910213375553</v>
      </c>
      <c r="M30" s="33">
        <v>0.13625910213375553</v>
      </c>
      <c r="N30" s="26"/>
    </row>
    <row r="31" spans="1:14" ht="12.75">
      <c r="A31" s="27">
        <v>2012</v>
      </c>
      <c r="B31" s="28">
        <v>168873325</v>
      </c>
      <c r="C31" s="29">
        <v>3376950</v>
      </c>
      <c r="D31" s="30">
        <v>0.020404978658898117</v>
      </c>
      <c r="E31" s="31">
        <v>0.0373559976648739</v>
      </c>
      <c r="F31" s="28">
        <v>68630835</v>
      </c>
      <c r="G31" s="29">
        <v>-269530</v>
      </c>
      <c r="H31" s="30">
        <v>-0.003911880582925794</v>
      </c>
      <c r="I31" s="34">
        <v>0.1260105854863874</v>
      </c>
      <c r="J31" s="28">
        <v>862463460</v>
      </c>
      <c r="K31" s="29">
        <v>80818535</v>
      </c>
      <c r="L31" s="30">
        <v>0.10339545798240807</v>
      </c>
      <c r="M31" s="33">
        <v>0.25374313238555496</v>
      </c>
      <c r="N31" s="26"/>
    </row>
    <row r="32" spans="1:14" ht="12.75">
      <c r="A32" s="27">
        <v>2013</v>
      </c>
      <c r="B32" s="28">
        <v>178398365</v>
      </c>
      <c r="C32" s="29">
        <v>9525040</v>
      </c>
      <c r="D32" s="30">
        <v>0.05640346099657835</v>
      </c>
      <c r="E32" s="31">
        <v>0.09586646621873124</v>
      </c>
      <c r="F32" s="28">
        <v>71052295</v>
      </c>
      <c r="G32" s="29">
        <v>2421460</v>
      </c>
      <c r="H32" s="30">
        <v>0.03528239165383898</v>
      </c>
      <c r="I32" s="32">
        <v>0.16573893196988668</v>
      </c>
      <c r="J32" s="28">
        <v>999496850</v>
      </c>
      <c r="K32" s="29">
        <v>137033390</v>
      </c>
      <c r="L32" s="30">
        <v>0.15888602399457016</v>
      </c>
      <c r="M32" s="33">
        <v>0.4529453938007938</v>
      </c>
      <c r="N32" s="26"/>
    </row>
    <row r="33" spans="1:14" ht="12.75">
      <c r="A33" s="27">
        <v>2014</v>
      </c>
      <c r="B33" s="28">
        <v>185421505</v>
      </c>
      <c r="C33" s="29">
        <v>7023140</v>
      </c>
      <c r="D33" s="30">
        <v>0.039367737478984186</v>
      </c>
      <c r="E33" s="31">
        <v>0.13900824957285235</v>
      </c>
      <c r="F33" s="28">
        <v>72347915</v>
      </c>
      <c r="G33" s="29">
        <v>1295620</v>
      </c>
      <c r="H33" s="30">
        <v>0.01823473823048221</v>
      </c>
      <c r="I33" s="32">
        <v>0.18699587623943947</v>
      </c>
      <c r="J33" s="28">
        <v>1498931305</v>
      </c>
      <c r="K33" s="29">
        <v>499434455</v>
      </c>
      <c r="L33" s="30">
        <v>0.49968587194646985</v>
      </c>
      <c r="M33" s="33">
        <v>1.1789616797927505</v>
      </c>
      <c r="N33" s="26"/>
    </row>
    <row r="34" spans="1:14" ht="12.75">
      <c r="A34" s="27">
        <v>2015</v>
      </c>
      <c r="B34" s="28">
        <v>192821550</v>
      </c>
      <c r="C34" s="29">
        <v>7400045</v>
      </c>
      <c r="D34" s="30">
        <v>0.039909313647303206</v>
      </c>
      <c r="E34" s="31">
        <v>0.1844652870519211</v>
      </c>
      <c r="F34" s="28">
        <v>71922400</v>
      </c>
      <c r="G34" s="29">
        <v>-425515</v>
      </c>
      <c r="H34" s="30">
        <v>-0.005881510199706516</v>
      </c>
      <c r="I34" s="32">
        <v>0.18001454788632765</v>
      </c>
      <c r="J34" s="28">
        <v>1693093650</v>
      </c>
      <c r="K34" s="29">
        <v>194162345</v>
      </c>
      <c r="L34" s="30">
        <v>0.12953385145291899</v>
      </c>
      <c r="M34" s="33">
        <v>1.4612109783446274</v>
      </c>
      <c r="N34" s="26"/>
    </row>
    <row r="35" spans="1:14" ht="12.75">
      <c r="A35" s="27">
        <v>2016</v>
      </c>
      <c r="B35" s="28">
        <v>199306025</v>
      </c>
      <c r="C35" s="29">
        <v>6484475</v>
      </c>
      <c r="D35" s="30">
        <v>0.033629410198185834</v>
      </c>
      <c r="E35" s="31">
        <v>0.2242981560557021</v>
      </c>
      <c r="F35" s="28">
        <v>81266430</v>
      </c>
      <c r="G35" s="29">
        <v>9344030</v>
      </c>
      <c r="H35" s="30">
        <v>0.12991821741209972</v>
      </c>
      <c r="I35" s="32">
        <v>0.33331993446806407</v>
      </c>
      <c r="J35" s="28">
        <v>1728755515</v>
      </c>
      <c r="K35" s="29">
        <v>35661865</v>
      </c>
      <c r="L35" s="30">
        <v>0.021063137883719545</v>
      </c>
      <c r="M35" s="33">
        <v>1.5130518045424246</v>
      </c>
      <c r="N35" s="26"/>
    </row>
    <row r="36" spans="1:14" ht="12.75">
      <c r="A36" s="27">
        <v>2017</v>
      </c>
      <c r="B36" s="28">
        <v>210416245</v>
      </c>
      <c r="C36" s="29">
        <v>11110220</v>
      </c>
      <c r="D36" s="30">
        <v>0.0557445265390246</v>
      </c>
      <c r="E36" s="31">
        <v>0.2925460771076281</v>
      </c>
      <c r="F36" s="28">
        <v>86217540</v>
      </c>
      <c r="G36" s="29">
        <v>4951110</v>
      </c>
      <c r="H36" s="30">
        <v>0.06092441860679742</v>
      </c>
      <c r="I36" s="32">
        <v>0.41455167629238415</v>
      </c>
      <c r="J36" s="28">
        <v>1704326015</v>
      </c>
      <c r="K36" s="29">
        <v>-24429500</v>
      </c>
      <c r="L36" s="30">
        <v>-0.014131263668014964</v>
      </c>
      <c r="M36" s="33">
        <v>1.4775392068810547</v>
      </c>
      <c r="N36" s="26"/>
    </row>
    <row r="37" spans="1:14" ht="12.75">
      <c r="A37" s="27">
        <v>2018</v>
      </c>
      <c r="B37" s="28">
        <v>214813030</v>
      </c>
      <c r="C37" s="29">
        <v>4396785</v>
      </c>
      <c r="D37" s="30">
        <v>0.020895653755250692</v>
      </c>
      <c r="E37" s="31">
        <v>0.3195546723975766</v>
      </c>
      <c r="F37" s="28">
        <v>89215625</v>
      </c>
      <c r="G37" s="29">
        <v>2998085</v>
      </c>
      <c r="H37" s="30">
        <v>0.03477349272549414</v>
      </c>
      <c r="I37" s="32">
        <v>0.4637405787177729</v>
      </c>
      <c r="J37" s="28">
        <v>1576679720</v>
      </c>
      <c r="K37" s="29">
        <v>-127646295</v>
      </c>
      <c r="L37" s="30">
        <v>-0.07489546828280973</v>
      </c>
      <c r="M37" s="33">
        <v>1.291982747792677</v>
      </c>
      <c r="N37" s="26"/>
    </row>
    <row r="38" spans="1:14" ht="12.75">
      <c r="A38" s="27">
        <v>2019</v>
      </c>
      <c r="B38" s="28">
        <v>220672640</v>
      </c>
      <c r="C38" s="29">
        <v>5859610</v>
      </c>
      <c r="D38" s="30">
        <v>0.02727772146782716</v>
      </c>
      <c r="E38" s="31">
        <v>0.35554911721280763</v>
      </c>
      <c r="F38" s="28">
        <v>87213010</v>
      </c>
      <c r="G38" s="29">
        <v>-2002615</v>
      </c>
      <c r="H38" s="30">
        <v>-0.02244690882342639</v>
      </c>
      <c r="I38" s="32">
        <v>0.4308841274061457</v>
      </c>
      <c r="J38" s="28">
        <v>1516793105</v>
      </c>
      <c r="K38" s="29">
        <v>-59886615</v>
      </c>
      <c r="L38" s="30">
        <v>-0.03798273944945521</v>
      </c>
      <c r="M38" s="33">
        <v>1.2049269642606215</v>
      </c>
      <c r="N38" s="26"/>
    </row>
    <row r="39" spans="1:14" ht="13.5" thickBot="1">
      <c r="A39" s="35">
        <v>2020</v>
      </c>
      <c r="B39" s="36">
        <v>240316112</v>
      </c>
      <c r="C39" s="37">
        <v>19643472</v>
      </c>
      <c r="D39" s="38">
        <v>0.0890163456602504</v>
      </c>
      <c r="E39" s="39">
        <v>0.4762151459900702</v>
      </c>
      <c r="F39" s="36">
        <v>87201500</v>
      </c>
      <c r="G39" s="37">
        <v>-11510</v>
      </c>
      <c r="H39" s="38">
        <v>-0.00013197572242948616</v>
      </c>
      <c r="I39" s="40">
        <v>0.43069528543971836</v>
      </c>
      <c r="J39" s="36">
        <v>1456467830</v>
      </c>
      <c r="K39" s="37">
        <v>-60325275</v>
      </c>
      <c r="L39" s="38">
        <v>-0.03977159099757379</v>
      </c>
      <c r="M39" s="41">
        <v>1.117233510858526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0.039716570704707146</v>
      </c>
      <c r="E41" s="46"/>
      <c r="F41" s="43"/>
      <c r="G41" s="44" t="s">
        <v>13</v>
      </c>
      <c r="H41" s="48">
        <v>0.03646517530088609</v>
      </c>
      <c r="I41" s="46"/>
      <c r="J41" s="43"/>
      <c r="K41" s="44" t="s">
        <v>14</v>
      </c>
      <c r="L41" s="48">
        <v>0.07789603880405893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18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5">
      <selection activeCell="B59" sqref="B59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8" t="s">
        <v>21</v>
      </c>
      <c r="I27" s="299"/>
      <c r="J27" s="299"/>
      <c r="K27" s="299"/>
      <c r="L27" s="299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162792065</v>
      </c>
      <c r="C30" s="98">
        <v>1406524</v>
      </c>
      <c r="D30" s="99">
        <v>0.008640003430142618</v>
      </c>
      <c r="E30" s="100">
        <v>161385541</v>
      </c>
      <c r="F30" s="101" t="s">
        <v>9</v>
      </c>
      <c r="G30" s="102" t="s">
        <v>9</v>
      </c>
      <c r="H30" s="103">
        <v>60950435</v>
      </c>
      <c r="I30" s="104">
        <v>624731</v>
      </c>
      <c r="J30" s="105">
        <v>0.01024982020226763</v>
      </c>
      <c r="K30" s="100">
        <v>60325704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165496375</v>
      </c>
      <c r="C31" s="98">
        <v>659528</v>
      </c>
      <c r="D31" s="99">
        <v>0.003985150732153499</v>
      </c>
      <c r="E31" s="100">
        <v>164836847</v>
      </c>
      <c r="F31" s="109">
        <v>0.01256069821339265</v>
      </c>
      <c r="G31" s="110">
        <v>0.01256069821339265</v>
      </c>
      <c r="H31" s="97">
        <v>68900365</v>
      </c>
      <c r="I31" s="98">
        <v>472245</v>
      </c>
      <c r="J31" s="99">
        <v>0.006854027551232857</v>
      </c>
      <c r="K31" s="100">
        <v>68428120</v>
      </c>
      <c r="L31" s="109">
        <v>0.12268468633570868</v>
      </c>
      <c r="M31" s="111">
        <v>0.12268468633570868</v>
      </c>
      <c r="R31" s="108"/>
    </row>
    <row r="32" spans="1:18" ht="13.5" customHeight="1">
      <c r="A32" s="96">
        <v>2012</v>
      </c>
      <c r="B32" s="97">
        <v>168873325</v>
      </c>
      <c r="C32" s="98">
        <v>1425755</v>
      </c>
      <c r="D32" s="99">
        <v>0.008442748432886012</v>
      </c>
      <c r="E32" s="100">
        <v>167447570</v>
      </c>
      <c r="F32" s="109">
        <v>0.011789956124416622</v>
      </c>
      <c r="G32" s="110">
        <v>0.02859786194124388</v>
      </c>
      <c r="H32" s="97">
        <v>68630835</v>
      </c>
      <c r="I32" s="98">
        <v>1260455</v>
      </c>
      <c r="J32" s="99">
        <v>0.01836572438613052</v>
      </c>
      <c r="K32" s="100">
        <v>67370380</v>
      </c>
      <c r="L32" s="109">
        <v>-0.022205760448438843</v>
      </c>
      <c r="M32" s="111">
        <v>0.10533058541747897</v>
      </c>
      <c r="R32" s="108"/>
    </row>
    <row r="33" spans="1:18" ht="13.5" customHeight="1">
      <c r="A33" s="96">
        <v>2013</v>
      </c>
      <c r="B33" s="97">
        <v>178398365</v>
      </c>
      <c r="C33" s="98">
        <v>1484760</v>
      </c>
      <c r="D33" s="99">
        <v>0.008322722015978118</v>
      </c>
      <c r="E33" s="100">
        <v>176913605</v>
      </c>
      <c r="F33" s="109">
        <v>0.04761130865398665</v>
      </c>
      <c r="G33" s="110">
        <v>0.08674587425376046</v>
      </c>
      <c r="H33" s="97">
        <v>71052295</v>
      </c>
      <c r="I33" s="98">
        <v>1254885</v>
      </c>
      <c r="J33" s="99">
        <v>0.017661428107283515</v>
      </c>
      <c r="K33" s="100">
        <v>69797410</v>
      </c>
      <c r="L33" s="109">
        <v>0.016997826122908163</v>
      </c>
      <c r="M33" s="111">
        <v>0.14515031763103906</v>
      </c>
      <c r="R33" s="108"/>
    </row>
    <row r="34" spans="1:18" ht="13.5" customHeight="1">
      <c r="A34" s="96">
        <v>2014</v>
      </c>
      <c r="B34" s="97">
        <v>185421505</v>
      </c>
      <c r="C34" s="98">
        <v>2294315</v>
      </c>
      <c r="D34" s="99">
        <v>0.012373510828746643</v>
      </c>
      <c r="E34" s="100">
        <v>183127190</v>
      </c>
      <c r="F34" s="109">
        <v>0.026507109524238074</v>
      </c>
      <c r="G34" s="110">
        <v>0.12491471866273089</v>
      </c>
      <c r="H34" s="97">
        <v>72347915</v>
      </c>
      <c r="I34" s="98">
        <v>1697925</v>
      </c>
      <c r="J34" s="99">
        <v>0.023468886421951482</v>
      </c>
      <c r="K34" s="100">
        <v>70649990</v>
      </c>
      <c r="L34" s="109">
        <v>-0.005662097191934476</v>
      </c>
      <c r="M34" s="111">
        <v>0.1591384048366513</v>
      </c>
      <c r="R34" s="108"/>
    </row>
    <row r="35" spans="1:18" ht="13.5" customHeight="1">
      <c r="A35" s="96">
        <v>2015</v>
      </c>
      <c r="B35" s="97">
        <v>192821550</v>
      </c>
      <c r="C35" s="98">
        <v>2092415</v>
      </c>
      <c r="D35" s="99">
        <v>0.010851561975308259</v>
      </c>
      <c r="E35" s="100">
        <v>190729135</v>
      </c>
      <c r="F35" s="109">
        <v>0.028624673281559224</v>
      </c>
      <c r="G35" s="110">
        <v>0.1716119885818759</v>
      </c>
      <c r="H35" s="97">
        <v>71922400</v>
      </c>
      <c r="I35" s="98">
        <v>1351320</v>
      </c>
      <c r="J35" s="99">
        <v>0.018788583250837012</v>
      </c>
      <c r="K35" s="100">
        <v>70571080</v>
      </c>
      <c r="L35" s="109">
        <v>-0.024559588206515697</v>
      </c>
      <c r="M35" s="111">
        <v>0.15784374631616657</v>
      </c>
      <c r="R35" s="108"/>
    </row>
    <row r="36" spans="1:18" ht="13.5" customHeight="1">
      <c r="A36" s="96">
        <v>2016</v>
      </c>
      <c r="B36" s="97">
        <v>199306025</v>
      </c>
      <c r="C36" s="98">
        <v>3165180</v>
      </c>
      <c r="D36" s="99">
        <v>0.015881005102580316</v>
      </c>
      <c r="E36" s="100">
        <v>196140845</v>
      </c>
      <c r="F36" s="109">
        <v>0.017214336260651365</v>
      </c>
      <c r="G36" s="110">
        <v>0.20485507079230184</v>
      </c>
      <c r="H36" s="97">
        <v>81266430</v>
      </c>
      <c r="I36" s="98">
        <v>5715100</v>
      </c>
      <c r="J36" s="99">
        <v>0.07032547141544178</v>
      </c>
      <c r="K36" s="100">
        <v>75551330</v>
      </c>
      <c r="L36" s="109">
        <v>0.050456186111698165</v>
      </c>
      <c r="M36" s="111">
        <v>0.23955358152899156</v>
      </c>
      <c r="R36" s="108"/>
    </row>
    <row r="37" spans="1:18" ht="13.5" customHeight="1">
      <c r="A37" s="96">
        <v>2017</v>
      </c>
      <c r="B37" s="97">
        <v>210416245</v>
      </c>
      <c r="C37" s="98">
        <v>3105885</v>
      </c>
      <c r="D37" s="99">
        <v>0.014760671163958848</v>
      </c>
      <c r="E37" s="100">
        <v>207310360</v>
      </c>
      <c r="F37" s="109">
        <v>0.04016102874963263</v>
      </c>
      <c r="G37" s="110">
        <v>0.27346722949917734</v>
      </c>
      <c r="H37" s="97">
        <v>86217540</v>
      </c>
      <c r="I37" s="98">
        <v>751720</v>
      </c>
      <c r="J37" s="99">
        <v>0.008718875532751224</v>
      </c>
      <c r="K37" s="100">
        <v>85465820</v>
      </c>
      <c r="L37" s="109">
        <v>0.05167435065130829</v>
      </c>
      <c r="M37" s="111">
        <v>0.40221837629214624</v>
      </c>
      <c r="R37" s="108"/>
    </row>
    <row r="38" spans="1:18" ht="13.5" customHeight="1">
      <c r="A38" s="96">
        <v>2018</v>
      </c>
      <c r="B38" s="97">
        <v>214813030</v>
      </c>
      <c r="C38" s="98">
        <v>2119225</v>
      </c>
      <c r="D38" s="99">
        <v>0.009865439726817317</v>
      </c>
      <c r="E38" s="100">
        <v>212693805</v>
      </c>
      <c r="F38" s="109">
        <v>0.010824069215758507</v>
      </c>
      <c r="G38" s="110">
        <v>0.30653668531079814</v>
      </c>
      <c r="H38" s="97">
        <v>89215625</v>
      </c>
      <c r="I38" s="98">
        <v>1004405</v>
      </c>
      <c r="J38" s="99">
        <v>0.011258173666328067</v>
      </c>
      <c r="K38" s="100">
        <v>88211220</v>
      </c>
      <c r="L38" s="109">
        <v>0.023123833039077665</v>
      </c>
      <c r="M38" s="111">
        <v>0.4472615330801167</v>
      </c>
      <c r="R38" s="108"/>
    </row>
    <row r="39" spans="1:18" ht="13.5" customHeight="1">
      <c r="A39" s="96">
        <v>2019</v>
      </c>
      <c r="B39" s="97">
        <v>220672640</v>
      </c>
      <c r="C39" s="98">
        <v>3421390</v>
      </c>
      <c r="D39" s="99">
        <v>0.015504368824336357</v>
      </c>
      <c r="E39" s="100">
        <v>217251250</v>
      </c>
      <c r="F39" s="109">
        <v>0.011350428789166095</v>
      </c>
      <c r="G39" s="110">
        <v>0.33453218374003674</v>
      </c>
      <c r="H39" s="97">
        <v>87213010</v>
      </c>
      <c r="I39" s="98">
        <v>897425</v>
      </c>
      <c r="J39" s="99">
        <v>0.010290035855888932</v>
      </c>
      <c r="K39" s="100">
        <v>86315585</v>
      </c>
      <c r="L39" s="109">
        <v>-0.03250596518266839</v>
      </c>
      <c r="M39" s="111">
        <v>0.4161602784295141</v>
      </c>
      <c r="R39" s="108"/>
    </row>
    <row r="40" spans="1:18" ht="13.5" customHeight="1">
      <c r="A40" s="96">
        <v>2020</v>
      </c>
      <c r="B40" s="97">
        <v>240316112</v>
      </c>
      <c r="C40" s="98">
        <v>1734830</v>
      </c>
      <c r="D40" s="99">
        <v>0.007218950013638703</v>
      </c>
      <c r="E40" s="100">
        <v>238581282</v>
      </c>
      <c r="F40" s="109">
        <v>0.08115479109689357</v>
      </c>
      <c r="G40" s="110">
        <v>0.46555842264179154</v>
      </c>
      <c r="H40" s="97">
        <v>87201500</v>
      </c>
      <c r="I40" s="98">
        <v>272100</v>
      </c>
      <c r="J40" s="99">
        <v>0.0031203591681335757</v>
      </c>
      <c r="K40" s="100">
        <v>86929400</v>
      </c>
      <c r="L40" s="109">
        <v>-0.0032519230789076078</v>
      </c>
      <c r="M40" s="111">
        <v>0.426231002288991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0.039716570704707146</v>
      </c>
      <c r="C42" s="121"/>
      <c r="D42" s="122"/>
      <c r="E42" s="123" t="s">
        <v>29</v>
      </c>
      <c r="F42" s="124">
        <v>0.028779839990969537</v>
      </c>
      <c r="G42" s="125"/>
      <c r="H42" s="120">
        <v>0.03646517530088609</v>
      </c>
      <c r="I42" s="121"/>
      <c r="J42" s="126"/>
      <c r="K42" s="127" t="s">
        <v>30</v>
      </c>
      <c r="L42" s="124">
        <v>0.017675154815223595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300" t="s">
        <v>31</v>
      </c>
      <c r="C44" s="301"/>
      <c r="D44" s="301"/>
      <c r="E44" s="301"/>
      <c r="F44" s="301"/>
      <c r="G44" s="301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26242605</v>
      </c>
      <c r="C47" s="142">
        <v>26335305</v>
      </c>
      <c r="D47" s="143">
        <v>52577910</v>
      </c>
      <c r="E47" s="142">
        <v>1036204</v>
      </c>
      <c r="F47" s="105">
        <v>0.019707972416552883</v>
      </c>
      <c r="G47" s="142">
        <v>51541706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26523180</v>
      </c>
      <c r="C48" s="100">
        <v>27769190</v>
      </c>
      <c r="D48" s="146">
        <v>54292370</v>
      </c>
      <c r="E48" s="100">
        <v>1822400</v>
      </c>
      <c r="F48" s="99">
        <v>0.033566410897148166</v>
      </c>
      <c r="G48" s="100">
        <v>52469970</v>
      </c>
      <c r="H48" s="109">
        <v>-0.0020529534171289804</v>
      </c>
      <c r="I48" s="147">
        <v>-0.0020529534171289804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26203710</v>
      </c>
      <c r="C49" s="100">
        <v>30050075</v>
      </c>
      <c r="D49" s="146">
        <v>56253785</v>
      </c>
      <c r="E49" s="100">
        <v>2899585</v>
      </c>
      <c r="F49" s="99">
        <v>0.05154470939155472</v>
      </c>
      <c r="G49" s="100">
        <v>53354200</v>
      </c>
      <c r="H49" s="109">
        <v>-0.0172799603332844</v>
      </c>
      <c r="I49" s="147">
        <v>0.014764565575162649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28517750</v>
      </c>
      <c r="C50" s="100">
        <v>32491415</v>
      </c>
      <c r="D50" s="146">
        <v>61009165</v>
      </c>
      <c r="E50" s="100">
        <v>2387380</v>
      </c>
      <c r="F50" s="99">
        <v>0.03913149770202559</v>
      </c>
      <c r="G50" s="100">
        <v>58621785</v>
      </c>
      <c r="H50" s="109">
        <v>0.042094945255683684</v>
      </c>
      <c r="I50" s="147">
        <v>0.11495084152260902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30755265</v>
      </c>
      <c r="C51" s="100">
        <v>38615065</v>
      </c>
      <c r="D51" s="146">
        <v>69370330</v>
      </c>
      <c r="E51" s="100">
        <v>4943670</v>
      </c>
      <c r="F51" s="99">
        <v>0.07126490532768116</v>
      </c>
      <c r="G51" s="100">
        <v>64426660</v>
      </c>
      <c r="H51" s="109">
        <v>0.056016092008471186</v>
      </c>
      <c r="I51" s="147">
        <v>0.22535604781551796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31548995</v>
      </c>
      <c r="C52" s="100">
        <v>40416630</v>
      </c>
      <c r="D52" s="146">
        <v>71965625</v>
      </c>
      <c r="E52" s="100">
        <v>3437600</v>
      </c>
      <c r="F52" s="99">
        <v>0.047767249989144125</v>
      </c>
      <c r="G52" s="100">
        <v>68528025</v>
      </c>
      <c r="H52" s="109">
        <v>-0.01214215068603537</v>
      </c>
      <c r="I52" s="147">
        <v>0.3033615257814546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31601455</v>
      </c>
      <c r="C53" s="100">
        <v>41926135</v>
      </c>
      <c r="D53" s="146">
        <v>73527590</v>
      </c>
      <c r="E53" s="100">
        <v>2108665</v>
      </c>
      <c r="F53" s="99">
        <v>0.02867855453986728</v>
      </c>
      <c r="G53" s="100">
        <v>71418925</v>
      </c>
      <c r="H53" s="109">
        <v>-0.007596682443875114</v>
      </c>
      <c r="I53" s="147">
        <v>0.358344692666559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30782345</v>
      </c>
      <c r="C54" s="100">
        <v>41600110</v>
      </c>
      <c r="D54" s="146">
        <v>72382455</v>
      </c>
      <c r="E54" s="100">
        <v>739558</v>
      </c>
      <c r="F54" s="99">
        <v>0.010217365520415134</v>
      </c>
      <c r="G54" s="100">
        <v>71642897</v>
      </c>
      <c r="H54" s="109">
        <v>-0.025632459869825736</v>
      </c>
      <c r="I54" s="147">
        <v>0.3626045044392217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31853445</v>
      </c>
      <c r="C55" s="100">
        <v>44251670</v>
      </c>
      <c r="D55" s="146">
        <v>76105115</v>
      </c>
      <c r="E55" s="100">
        <v>1754095</v>
      </c>
      <c r="F55" s="99">
        <v>0.023048319419791956</v>
      </c>
      <c r="G55" s="100">
        <v>74351020</v>
      </c>
      <c r="H55" s="109">
        <v>0.027196715005038168</v>
      </c>
      <c r="I55" s="147">
        <v>0.41411136349847305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32670000</v>
      </c>
      <c r="C56" s="100">
        <v>46880745</v>
      </c>
      <c r="D56" s="146">
        <v>79550745</v>
      </c>
      <c r="E56" s="100">
        <v>2166713</v>
      </c>
      <c r="F56" s="99">
        <v>0.02723686622922262</v>
      </c>
      <c r="G56" s="100">
        <v>77384032</v>
      </c>
      <c r="H56" s="109">
        <v>0.01680461293567456</v>
      </c>
      <c r="I56" s="147">
        <v>0.4717974145415822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40277690</v>
      </c>
      <c r="C57" s="100">
        <v>51362145</v>
      </c>
      <c r="D57" s="146">
        <v>91639835</v>
      </c>
      <c r="E57" s="100">
        <v>1223590</v>
      </c>
      <c r="F57" s="99">
        <v>0.013352162844902546</v>
      </c>
      <c r="G57" s="100">
        <v>90416245</v>
      </c>
      <c r="H57" s="109">
        <v>0.13658577301821623</v>
      </c>
      <c r="I57" s="147">
        <v>0.7196622117539476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0.04377228542280613</v>
      </c>
      <c r="C59" s="154">
        <v>0.06908067701975484</v>
      </c>
      <c r="D59" s="154">
        <v>0.057129270402451485</v>
      </c>
      <c r="E59" s="121"/>
      <c r="F59" s="126"/>
      <c r="G59" s="127" t="s">
        <v>49</v>
      </c>
      <c r="H59" s="124">
        <v>0.021399393147293423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18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40">
      <selection activeCell="G59" sqref="G5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8" t="s">
        <v>54</v>
      </c>
      <c r="K29" s="299"/>
      <c r="L29" s="299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586685695</v>
      </c>
      <c r="C31" s="20" t="s">
        <v>9</v>
      </c>
      <c r="D31" s="20" t="s">
        <v>9</v>
      </c>
      <c r="E31" s="21" t="s">
        <v>9</v>
      </c>
      <c r="F31" s="19">
        <v>83011380</v>
      </c>
      <c r="G31" s="20" t="s">
        <v>9</v>
      </c>
      <c r="H31" s="20" t="s">
        <v>9</v>
      </c>
      <c r="I31" s="22" t="s">
        <v>9</v>
      </c>
      <c r="J31" s="172">
        <v>16507995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655570475</v>
      </c>
      <c r="C32" s="29">
        <v>68884780</v>
      </c>
      <c r="D32" s="30">
        <v>0.11741343037177683</v>
      </c>
      <c r="E32" s="175">
        <v>0.11741343037177683</v>
      </c>
      <c r="F32" s="28">
        <v>105974460</v>
      </c>
      <c r="G32" s="29">
        <v>22963080</v>
      </c>
      <c r="H32" s="30">
        <v>0.2766256867431911</v>
      </c>
      <c r="I32" s="176">
        <v>0.2766256867431911</v>
      </c>
      <c r="J32" s="28">
        <v>18287555</v>
      </c>
      <c r="K32" s="29">
        <v>1779560</v>
      </c>
      <c r="L32" s="30">
        <v>0.1077998872667456</v>
      </c>
      <c r="M32" s="177">
        <v>0.1077998872667456</v>
      </c>
      <c r="N32" s="26"/>
    </row>
    <row r="33" spans="1:14" ht="12.75">
      <c r="A33" s="27">
        <v>2012</v>
      </c>
      <c r="B33" s="28">
        <v>728413225</v>
      </c>
      <c r="C33" s="29">
        <v>72842750</v>
      </c>
      <c r="D33" s="30">
        <v>0.11111353054757385</v>
      </c>
      <c r="E33" s="175">
        <v>0.24157318170166053</v>
      </c>
      <c r="F33" s="28">
        <v>112919080</v>
      </c>
      <c r="G33" s="29">
        <v>6944620</v>
      </c>
      <c r="H33" s="30">
        <v>0.06553107229798576</v>
      </c>
      <c r="I33" s="176">
        <v>0.3602843369186249</v>
      </c>
      <c r="J33" s="28">
        <v>19270570</v>
      </c>
      <c r="K33" s="29">
        <v>983015</v>
      </c>
      <c r="L33" s="30">
        <v>0.05375322179482167</v>
      </c>
      <c r="M33" s="177">
        <v>0.1673477003112734</v>
      </c>
      <c r="N33" s="178"/>
    </row>
    <row r="34" spans="1:14" ht="12.75">
      <c r="A34" s="27">
        <v>2013</v>
      </c>
      <c r="B34" s="28">
        <v>841041835</v>
      </c>
      <c r="C34" s="29">
        <v>112628610</v>
      </c>
      <c r="D34" s="30">
        <v>0.15462186316015886</v>
      </c>
      <c r="E34" s="175">
        <v>0.43354754030605774</v>
      </c>
      <c r="F34" s="28">
        <v>135645580</v>
      </c>
      <c r="G34" s="29">
        <v>22726500</v>
      </c>
      <c r="H34" s="30">
        <v>0.2012635951337896</v>
      </c>
      <c r="I34" s="176">
        <v>0.6340600529710505</v>
      </c>
      <c r="J34" s="28">
        <v>20777275</v>
      </c>
      <c r="K34" s="29">
        <v>1506705</v>
      </c>
      <c r="L34" s="30">
        <v>0.07818684138559472</v>
      </c>
      <c r="M34" s="177">
        <v>0.2586189297973497</v>
      </c>
      <c r="N34" s="178"/>
    </row>
    <row r="35" spans="1:14" ht="12.75">
      <c r="A35" s="27">
        <v>2014</v>
      </c>
      <c r="B35" s="28">
        <v>1299208940</v>
      </c>
      <c r="C35" s="29">
        <v>458167105</v>
      </c>
      <c r="D35" s="30">
        <v>0.5447613732555884</v>
      </c>
      <c r="E35" s="175">
        <v>1.2144888669903566</v>
      </c>
      <c r="F35" s="28">
        <v>170036780</v>
      </c>
      <c r="G35" s="29">
        <v>34391200</v>
      </c>
      <c r="H35" s="30">
        <v>0.2535371959779301</v>
      </c>
      <c r="I35" s="176">
        <v>1.0483550568608786</v>
      </c>
      <c r="J35" s="28">
        <v>27407210</v>
      </c>
      <c r="K35" s="29">
        <v>6629935</v>
      </c>
      <c r="L35" s="30">
        <v>0.31909550217725857</v>
      </c>
      <c r="M35" s="177">
        <v>0.6602385692508388</v>
      </c>
      <c r="N35" s="178"/>
    </row>
    <row r="36" spans="1:14" ht="12.75">
      <c r="A36" s="27">
        <v>2015</v>
      </c>
      <c r="B36" s="28">
        <v>1487557385</v>
      </c>
      <c r="C36" s="29">
        <v>188348445</v>
      </c>
      <c r="D36" s="30">
        <v>0.14497163558618986</v>
      </c>
      <c r="E36" s="175">
        <v>1.5355269400253573</v>
      </c>
      <c r="F36" s="28">
        <v>170506500</v>
      </c>
      <c r="G36" s="29">
        <v>469720</v>
      </c>
      <c r="H36" s="30">
        <v>0.0027624611569332237</v>
      </c>
      <c r="I36" s="176">
        <v>1.0540135581410646</v>
      </c>
      <c r="J36" s="28">
        <v>32729215</v>
      </c>
      <c r="K36" s="29">
        <v>5322005</v>
      </c>
      <c r="L36" s="30">
        <v>0.19418266215349902</v>
      </c>
      <c r="M36" s="177">
        <v>0.982628114437883</v>
      </c>
      <c r="N36" s="178"/>
    </row>
    <row r="37" spans="1:14" ht="12.75">
      <c r="A37" s="27">
        <v>2016</v>
      </c>
      <c r="B37" s="28">
        <v>1521380235</v>
      </c>
      <c r="C37" s="29">
        <v>33822850</v>
      </c>
      <c r="D37" s="30">
        <v>0.02273717326205873</v>
      </c>
      <c r="E37" s="175">
        <v>1.5931776553713313</v>
      </c>
      <c r="F37" s="28">
        <v>171908165</v>
      </c>
      <c r="G37" s="29">
        <v>1401665</v>
      </c>
      <c r="H37" s="30">
        <v>0.008220595695765264</v>
      </c>
      <c r="I37" s="176">
        <v>1.0708987731561626</v>
      </c>
      <c r="J37" s="28">
        <v>33346415</v>
      </c>
      <c r="K37" s="29">
        <v>617200</v>
      </c>
      <c r="L37" s="30">
        <v>0.01885776973263795</v>
      </c>
      <c r="M37" s="177">
        <v>1.0200160588854068</v>
      </c>
      <c r="N37" s="178"/>
    </row>
    <row r="38" spans="1:14" ht="12.75">
      <c r="A38" s="27">
        <v>2017</v>
      </c>
      <c r="B38" s="28">
        <v>1501179235</v>
      </c>
      <c r="C38" s="29">
        <v>-20201000</v>
      </c>
      <c r="D38" s="30">
        <v>-0.01327807443219479</v>
      </c>
      <c r="E38" s="175">
        <v>1.5587452494474063</v>
      </c>
      <c r="F38" s="28">
        <v>168312395</v>
      </c>
      <c r="G38" s="29">
        <v>-3595770</v>
      </c>
      <c r="H38" s="30">
        <v>-0.020916807529182804</v>
      </c>
      <c r="I38" s="176">
        <v>1.0275821821056341</v>
      </c>
      <c r="J38" s="28">
        <v>32714265</v>
      </c>
      <c r="K38" s="29">
        <v>-632150</v>
      </c>
      <c r="L38" s="30">
        <v>-0.018957060301684602</v>
      </c>
      <c r="M38" s="177">
        <v>0.9817224926467448</v>
      </c>
      <c r="N38" s="178"/>
    </row>
    <row r="39" spans="1:14" ht="12.75">
      <c r="A39" s="27">
        <v>2018</v>
      </c>
      <c r="B39" s="28">
        <v>1403116825</v>
      </c>
      <c r="C39" s="29">
        <v>-98062410</v>
      </c>
      <c r="D39" s="30">
        <v>-0.06532358542782535</v>
      </c>
      <c r="E39" s="175">
        <v>1.3915988355570865</v>
      </c>
      <c r="F39" s="28">
        <v>144212040</v>
      </c>
      <c r="G39" s="29">
        <v>-24100355</v>
      </c>
      <c r="H39" s="30">
        <v>-0.1431882363743918</v>
      </c>
      <c r="I39" s="176">
        <v>0.7372562653457875</v>
      </c>
      <c r="J39" s="28">
        <v>29295120</v>
      </c>
      <c r="K39" s="29">
        <v>-3419145</v>
      </c>
      <c r="L39" s="30">
        <v>-0.10451541552286135</v>
      </c>
      <c r="M39" s="177">
        <v>0.7746019428767698</v>
      </c>
      <c r="N39" s="178"/>
    </row>
    <row r="40" spans="1:14" ht="12.75">
      <c r="A40" s="27">
        <v>2019</v>
      </c>
      <c r="B40" s="28">
        <v>1364336395</v>
      </c>
      <c r="C40" s="29">
        <v>-38780430</v>
      </c>
      <c r="D40" s="30">
        <v>-0.02763877483972156</v>
      </c>
      <c r="E40" s="175">
        <v>1.3254979738341839</v>
      </c>
      <c r="F40" s="28">
        <v>123850960</v>
      </c>
      <c r="G40" s="29">
        <v>-20361080</v>
      </c>
      <c r="H40" s="30">
        <v>-0.14118848883907337</v>
      </c>
      <c r="I40" s="176">
        <v>0.4919756785154035</v>
      </c>
      <c r="J40" s="28">
        <v>28126495</v>
      </c>
      <c r="K40" s="29">
        <v>-1168625</v>
      </c>
      <c r="L40" s="30">
        <v>-0.03989145632446633</v>
      </c>
      <c r="M40" s="177">
        <v>0.7038104869791879</v>
      </c>
      <c r="N40" s="178"/>
    </row>
    <row r="41" spans="1:14" ht="13.5" thickBot="1">
      <c r="A41" s="35">
        <v>2020</v>
      </c>
      <c r="B41" s="36">
        <v>1303915080</v>
      </c>
      <c r="C41" s="37">
        <v>-60421315</v>
      </c>
      <c r="D41" s="38">
        <v>-0.044286229716828746</v>
      </c>
      <c r="E41" s="179">
        <v>1.2225104363589434</v>
      </c>
      <c r="F41" s="36">
        <v>124105800</v>
      </c>
      <c r="G41" s="37">
        <v>254840</v>
      </c>
      <c r="H41" s="38">
        <v>0.0020576344341618345</v>
      </c>
      <c r="I41" s="180">
        <v>0.49504561904644884</v>
      </c>
      <c r="J41" s="36">
        <v>27956915</v>
      </c>
      <c r="K41" s="37">
        <v>-169580</v>
      </c>
      <c r="L41" s="38">
        <v>-0.006029190626133828</v>
      </c>
      <c r="M41" s="181">
        <v>0.6935378887623845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0.08313946732057154</v>
      </c>
      <c r="E43" s="46"/>
      <c r="F43" s="43"/>
      <c r="G43" s="44" t="s">
        <v>59</v>
      </c>
      <c r="H43" s="48">
        <v>0.041035272223953353</v>
      </c>
      <c r="I43" s="46"/>
      <c r="J43" s="43"/>
      <c r="K43" s="44" t="s">
        <v>60</v>
      </c>
      <c r="L43" s="48">
        <v>0.05409436514290752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0</v>
      </c>
      <c r="C47" s="20" t="s">
        <v>9</v>
      </c>
      <c r="D47" s="20" t="s">
        <v>9</v>
      </c>
      <c r="E47" s="186" t="s">
        <v>9</v>
      </c>
      <c r="F47" s="19">
        <v>1705745</v>
      </c>
      <c r="G47" s="20" t="s">
        <v>9</v>
      </c>
      <c r="H47" s="20" t="s">
        <v>9</v>
      </c>
      <c r="I47" s="186" t="s">
        <v>9</v>
      </c>
      <c r="J47" s="19">
        <v>687910815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0</v>
      </c>
      <c r="C48" s="29">
        <v>0</v>
      </c>
      <c r="D48" s="30" t="s">
        <v>107</v>
      </c>
      <c r="E48" s="187" t="s">
        <v>108</v>
      </c>
      <c r="F48" s="28">
        <v>1812435</v>
      </c>
      <c r="G48" s="29">
        <v>106690</v>
      </c>
      <c r="H48" s="30">
        <v>0.06254744994122803</v>
      </c>
      <c r="I48" s="187">
        <v>0.06254744994122803</v>
      </c>
      <c r="J48" s="28">
        <v>781644925</v>
      </c>
      <c r="K48" s="29">
        <v>93734110</v>
      </c>
      <c r="L48" s="30">
        <v>0.13625910213375553</v>
      </c>
      <c r="M48" s="188">
        <v>0.13625910213375553</v>
      </c>
    </row>
    <row r="49" spans="1:17" ht="12.75">
      <c r="A49" s="27">
        <v>2012</v>
      </c>
      <c r="B49" s="28">
        <v>0</v>
      </c>
      <c r="C49" s="29">
        <v>0</v>
      </c>
      <c r="D49" s="30" t="s">
        <v>107</v>
      </c>
      <c r="E49" s="187" t="s">
        <v>108</v>
      </c>
      <c r="F49" s="28">
        <v>1860585</v>
      </c>
      <c r="G49" s="29">
        <v>48150</v>
      </c>
      <c r="H49" s="30">
        <v>0.026566469969957544</v>
      </c>
      <c r="I49" s="187">
        <v>0.09077558486174662</v>
      </c>
      <c r="J49" s="28">
        <v>862463460</v>
      </c>
      <c r="K49" s="29">
        <v>80818535</v>
      </c>
      <c r="L49" s="30">
        <v>0.10339545798240807</v>
      </c>
      <c r="M49" s="188">
        <v>0.25374313238555496</v>
      </c>
      <c r="Q49" s="64"/>
    </row>
    <row r="50" spans="1:17" ht="12.75">
      <c r="A50" s="27">
        <v>2013</v>
      </c>
      <c r="B50" s="28">
        <v>0</v>
      </c>
      <c r="C50" s="29">
        <v>0</v>
      </c>
      <c r="D50" s="30" t="s">
        <v>107</v>
      </c>
      <c r="E50" s="187" t="s">
        <v>108</v>
      </c>
      <c r="F50" s="28">
        <v>2032160</v>
      </c>
      <c r="G50" s="29">
        <v>171575</v>
      </c>
      <c r="H50" s="30">
        <v>0.09221562035596331</v>
      </c>
      <c r="I50" s="187">
        <v>0.19136213208891129</v>
      </c>
      <c r="J50" s="28">
        <v>999496850</v>
      </c>
      <c r="K50" s="29">
        <v>137033390</v>
      </c>
      <c r="L50" s="30">
        <v>0.15888602399457016</v>
      </c>
      <c r="M50" s="188">
        <v>0.4529453938007938</v>
      </c>
      <c r="Q50" s="64"/>
    </row>
    <row r="51" spans="1:17" ht="12.75">
      <c r="A51" s="27">
        <v>2014</v>
      </c>
      <c r="B51" s="28">
        <v>0</v>
      </c>
      <c r="C51" s="29">
        <v>0</v>
      </c>
      <c r="D51" s="30" t="s">
        <v>107</v>
      </c>
      <c r="E51" s="187" t="s">
        <v>108</v>
      </c>
      <c r="F51" s="28">
        <v>2278375</v>
      </c>
      <c r="G51" s="29">
        <v>246215</v>
      </c>
      <c r="H51" s="30">
        <v>0.12115925911345564</v>
      </c>
      <c r="I51" s="187">
        <v>0.3357066853486307</v>
      </c>
      <c r="J51" s="28">
        <v>1498931305</v>
      </c>
      <c r="K51" s="29">
        <v>499434455</v>
      </c>
      <c r="L51" s="30">
        <v>0.49968587194646985</v>
      </c>
      <c r="M51" s="188">
        <v>1.1789616797927505</v>
      </c>
      <c r="Q51" s="64"/>
    </row>
    <row r="52" spans="1:17" ht="12.75">
      <c r="A52" s="27">
        <v>2015</v>
      </c>
      <c r="B52" s="28">
        <v>0</v>
      </c>
      <c r="C52" s="29">
        <v>0</v>
      </c>
      <c r="D52" s="30" t="s">
        <v>107</v>
      </c>
      <c r="E52" s="187" t="s">
        <v>108</v>
      </c>
      <c r="F52" s="28">
        <v>2300550</v>
      </c>
      <c r="G52" s="29">
        <v>22175</v>
      </c>
      <c r="H52" s="30">
        <v>0.00973281395731607</v>
      </c>
      <c r="I52" s="187">
        <v>0.3487068700186722</v>
      </c>
      <c r="J52" s="28">
        <v>1693093650</v>
      </c>
      <c r="K52" s="29">
        <v>194162345</v>
      </c>
      <c r="L52" s="30">
        <v>0.12953385145291899</v>
      </c>
      <c r="M52" s="188">
        <v>1.4612109783446274</v>
      </c>
      <c r="Q52" s="64"/>
    </row>
    <row r="53" spans="1:17" ht="12.75">
      <c r="A53" s="27">
        <v>2016</v>
      </c>
      <c r="B53" s="28">
        <v>0</v>
      </c>
      <c r="C53" s="29">
        <v>0</v>
      </c>
      <c r="D53" s="30" t="s">
        <v>107</v>
      </c>
      <c r="E53" s="187" t="s">
        <v>108</v>
      </c>
      <c r="F53" s="28">
        <v>2120700</v>
      </c>
      <c r="G53" s="29">
        <v>-179850</v>
      </c>
      <c r="H53" s="30">
        <v>-0.07817695768403207</v>
      </c>
      <c r="I53" s="187">
        <v>0.2432690701130591</v>
      </c>
      <c r="J53" s="28">
        <v>1728755515</v>
      </c>
      <c r="K53" s="29">
        <v>35661865</v>
      </c>
      <c r="L53" s="30">
        <v>0.021063137883719545</v>
      </c>
      <c r="M53" s="188">
        <v>1.5130518045424246</v>
      </c>
      <c r="Q53" s="64"/>
    </row>
    <row r="54" spans="1:17" ht="12.75">
      <c r="A54" s="27">
        <v>2017</v>
      </c>
      <c r="B54" s="28">
        <v>0</v>
      </c>
      <c r="C54" s="29">
        <v>0</v>
      </c>
      <c r="D54" s="30" t="s">
        <v>107</v>
      </c>
      <c r="E54" s="187" t="s">
        <v>108</v>
      </c>
      <c r="F54" s="28">
        <v>2120120</v>
      </c>
      <c r="G54" s="29">
        <v>-580</v>
      </c>
      <c r="H54" s="30">
        <v>-0.0002734946008393455</v>
      </c>
      <c r="I54" s="187">
        <v>0.24292904273499263</v>
      </c>
      <c r="J54" s="28">
        <v>1704326015</v>
      </c>
      <c r="K54" s="29">
        <v>-24429500</v>
      </c>
      <c r="L54" s="30">
        <v>-0.014131263668014964</v>
      </c>
      <c r="M54" s="188">
        <v>1.4775392068810547</v>
      </c>
      <c r="Q54" s="64"/>
    </row>
    <row r="55" spans="1:17" ht="12.75">
      <c r="A55" s="27">
        <v>2018</v>
      </c>
      <c r="B55" s="28">
        <v>0</v>
      </c>
      <c r="C55" s="29">
        <v>0</v>
      </c>
      <c r="D55" s="30" t="s">
        <v>107</v>
      </c>
      <c r="E55" s="187" t="s">
        <v>108</v>
      </c>
      <c r="F55" s="28">
        <v>55735</v>
      </c>
      <c r="G55" s="29">
        <v>-2064385</v>
      </c>
      <c r="H55" s="30">
        <v>-0.9737113936946965</v>
      </c>
      <c r="I55" s="187">
        <v>-0.967325127730112</v>
      </c>
      <c r="J55" s="28">
        <v>1576679720</v>
      </c>
      <c r="K55" s="29">
        <v>-127646295</v>
      </c>
      <c r="L55" s="30">
        <v>-0.07489546828280973</v>
      </c>
      <c r="M55" s="188">
        <v>1.291982747792677</v>
      </c>
      <c r="Q55" s="64"/>
    </row>
    <row r="56" spans="1:17" ht="12.75">
      <c r="A56" s="27">
        <v>2019</v>
      </c>
      <c r="B56" s="28">
        <v>0</v>
      </c>
      <c r="C56" s="29">
        <v>0</v>
      </c>
      <c r="D56" s="30" t="s">
        <v>107</v>
      </c>
      <c r="E56" s="189" t="s">
        <v>108</v>
      </c>
      <c r="F56" s="28">
        <v>479255</v>
      </c>
      <c r="G56" s="29">
        <v>423520</v>
      </c>
      <c r="H56" s="30">
        <v>7.5988158248856195</v>
      </c>
      <c r="I56" s="189">
        <v>-0.7190347912495713</v>
      </c>
      <c r="J56" s="28">
        <v>1516793105</v>
      </c>
      <c r="K56" s="29">
        <v>-59886615</v>
      </c>
      <c r="L56" s="30">
        <v>-0.03798273944945521</v>
      </c>
      <c r="M56" s="188">
        <v>1.2049269642606215</v>
      </c>
      <c r="Q56" s="64"/>
    </row>
    <row r="57" spans="1:17" ht="13.5" thickBot="1">
      <c r="A57" s="35">
        <v>2020</v>
      </c>
      <c r="B57" s="36">
        <v>10765</v>
      </c>
      <c r="C57" s="37">
        <v>10765</v>
      </c>
      <c r="D57" s="38" t="s">
        <v>107</v>
      </c>
      <c r="E57" s="190" t="s">
        <v>108</v>
      </c>
      <c r="F57" s="36">
        <v>479270</v>
      </c>
      <c r="G57" s="37">
        <v>15</v>
      </c>
      <c r="H57" s="38">
        <v>3.129857800127281E-05</v>
      </c>
      <c r="I57" s="190">
        <v>-0.7190259974380696</v>
      </c>
      <c r="J57" s="36">
        <v>1456467830</v>
      </c>
      <c r="K57" s="37">
        <v>-60325275</v>
      </c>
      <c r="L57" s="38">
        <v>-0.03977159099757379</v>
      </c>
      <c r="M57" s="191">
        <v>1.117233510858526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18</v>
      </c>
      <c r="J59" s="47" t="s">
        <v>57</v>
      </c>
      <c r="K59" t="s">
        <v>64</v>
      </c>
      <c r="L59" s="48">
        <v>0.07789603880405893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23">
      <selection activeCell="D37" sqref="D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589395065</v>
      </c>
      <c r="C7" s="214">
        <v>213620.91</v>
      </c>
      <c r="D7" s="215">
        <v>2759.0700975854843</v>
      </c>
      <c r="E7" s="216" t="s">
        <v>108</v>
      </c>
      <c r="F7" s="217"/>
      <c r="G7" s="19">
        <v>81693750</v>
      </c>
      <c r="H7" s="214">
        <v>59023.35</v>
      </c>
      <c r="I7" s="218">
        <v>1384.0920584819398</v>
      </c>
      <c r="J7" s="216" t="s">
        <v>108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654027455</v>
      </c>
      <c r="C8" s="224">
        <v>213162.93</v>
      </c>
      <c r="D8" s="225">
        <v>3068.2044715748652</v>
      </c>
      <c r="E8" s="226">
        <v>0.11204295761093944</v>
      </c>
      <c r="F8" s="175">
        <v>0.11204295761093944</v>
      </c>
      <c r="G8" s="28">
        <v>105721870</v>
      </c>
      <c r="H8" s="224">
        <v>59530.6</v>
      </c>
      <c r="I8" s="227">
        <v>1775.924818496706</v>
      </c>
      <c r="J8" s="226">
        <v>0.28309732550920413</v>
      </c>
      <c r="K8" s="176">
        <v>0.28309732550920413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728440770</v>
      </c>
      <c r="C9" s="224">
        <v>214992.08</v>
      </c>
      <c r="D9" s="225">
        <v>3388.2214172726735</v>
      </c>
      <c r="E9" s="226">
        <v>0.1043010492496767</v>
      </c>
      <c r="F9" s="175">
        <v>0.22803020490047418</v>
      </c>
      <c r="G9" s="28">
        <v>112921130</v>
      </c>
      <c r="H9" s="224">
        <v>58930.43</v>
      </c>
      <c r="I9" s="227">
        <v>1916.1769225169407</v>
      </c>
      <c r="J9" s="226">
        <v>0.07897412241749971</v>
      </c>
      <c r="K9" s="176">
        <v>0.3844288107675345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840640555</v>
      </c>
      <c r="C10" s="224">
        <v>218193.28</v>
      </c>
      <c r="D10" s="225">
        <v>3852.733480151176</v>
      </c>
      <c r="E10" s="226">
        <v>0.1370961356039147</v>
      </c>
      <c r="F10" s="175">
        <v>0.39638840039721274</v>
      </c>
      <c r="G10" s="28">
        <v>135411545</v>
      </c>
      <c r="H10" s="224">
        <v>56911.84</v>
      </c>
      <c r="I10" s="227">
        <v>2379.321157073818</v>
      </c>
      <c r="J10" s="226">
        <v>0.24170222963990567</v>
      </c>
      <c r="K10" s="176">
        <v>0.7190483411077706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1300047640</v>
      </c>
      <c r="C11" s="224">
        <v>222009.83</v>
      </c>
      <c r="D11" s="225">
        <v>5855.811159352719</v>
      </c>
      <c r="E11" s="226">
        <v>0.5199107827004283</v>
      </c>
      <c r="F11" s="175">
        <v>1.1223857866015268</v>
      </c>
      <c r="G11" s="28">
        <v>169727610</v>
      </c>
      <c r="H11" s="224">
        <v>53944.08</v>
      </c>
      <c r="I11" s="227">
        <v>3146.362121663767</v>
      </c>
      <c r="J11" s="226">
        <v>0.3223780708667702</v>
      </c>
      <c r="K11" s="176">
        <v>1.2732318290408153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1488956660</v>
      </c>
      <c r="C12" s="224">
        <v>225574.09</v>
      </c>
      <c r="D12" s="225">
        <v>6600.743285720448</v>
      </c>
      <c r="E12" s="226">
        <v>0.12721245718075216</v>
      </c>
      <c r="F12" s="175">
        <v>1.3923796976006104</v>
      </c>
      <c r="G12" s="28">
        <v>169864995</v>
      </c>
      <c r="H12" s="224">
        <v>50900.86</v>
      </c>
      <c r="I12" s="227">
        <v>3337.1733797817956</v>
      </c>
      <c r="J12" s="226">
        <v>0.06064504044344688</v>
      </c>
      <c r="K12" s="176">
        <v>1.4110920652503263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1521763570</v>
      </c>
      <c r="C13" s="224">
        <v>226000.93</v>
      </c>
      <c r="D13" s="225">
        <v>6733.439415492671</v>
      </c>
      <c r="E13" s="226">
        <v>0.020103210203506708</v>
      </c>
      <c r="F13" s="175">
        <v>1.4404742095480774</v>
      </c>
      <c r="G13" s="28">
        <v>171905635</v>
      </c>
      <c r="H13" s="224">
        <v>50509.78</v>
      </c>
      <c r="I13" s="227">
        <v>3403.412863805782</v>
      </c>
      <c r="J13" s="226">
        <v>0.01984897890690876</v>
      </c>
      <c r="K13" s="176">
        <v>1.458949780796095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1501446970</v>
      </c>
      <c r="C14" s="224">
        <v>228102.03</v>
      </c>
      <c r="D14" s="225">
        <v>6582.348127283216</v>
      </c>
      <c r="E14" s="226">
        <v>-0.022438946708544835</v>
      </c>
      <c r="F14" s="175">
        <v>1.38571253881645</v>
      </c>
      <c r="G14" s="28">
        <v>168272000</v>
      </c>
      <c r="H14" s="224">
        <v>49413.72</v>
      </c>
      <c r="I14" s="227">
        <v>3405.3700065487883</v>
      </c>
      <c r="J14" s="226">
        <v>0.0005750529898444108</v>
      </c>
      <c r="K14" s="176">
        <v>1.4603638072194192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1403619840</v>
      </c>
      <c r="C15" s="224">
        <v>228286.61</v>
      </c>
      <c r="D15" s="225">
        <v>6148.4983284827795</v>
      </c>
      <c r="E15" s="226">
        <v>-0.06591109895907354</v>
      </c>
      <c r="F15" s="175">
        <v>1.2284676035826163</v>
      </c>
      <c r="G15" s="28">
        <v>143954780</v>
      </c>
      <c r="H15" s="224">
        <v>49264.29</v>
      </c>
      <c r="I15" s="227">
        <v>2922.091843808162</v>
      </c>
      <c r="J15" s="226">
        <v>-0.14191649125094927</v>
      </c>
      <c r="K15" s="176">
        <v>1.1111976084980122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1364427045</v>
      </c>
      <c r="C16" s="224">
        <v>227528.4</v>
      </c>
      <c r="D16" s="225">
        <v>5996.732913341807</v>
      </c>
      <c r="E16" s="226">
        <v>-0.024683330308137613</v>
      </c>
      <c r="F16" s="175">
        <v>1.1734616016424027</v>
      </c>
      <c r="G16" s="28">
        <v>124041535</v>
      </c>
      <c r="H16" s="224">
        <v>49858.75</v>
      </c>
      <c r="I16" s="227">
        <v>2487.858901396445</v>
      </c>
      <c r="J16" s="226">
        <v>-0.14860345451901022</v>
      </c>
      <c r="K16" s="176">
        <v>0.7974663507029346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1303914900</v>
      </c>
      <c r="C17" s="233">
        <v>227584.77</v>
      </c>
      <c r="D17" s="234">
        <v>5729.359218545248</v>
      </c>
      <c r="E17" s="235">
        <v>-0.04458656049224632</v>
      </c>
      <c r="F17" s="179">
        <v>1.076554424463199</v>
      </c>
      <c r="G17" s="36">
        <v>124096255</v>
      </c>
      <c r="H17" s="233">
        <v>49950.25</v>
      </c>
      <c r="I17" s="236">
        <v>2484.3970750897142</v>
      </c>
      <c r="J17" s="235">
        <v>-0.0013914882008733654</v>
      </c>
      <c r="K17" s="180">
        <v>0.7949651974844646</v>
      </c>
      <c r="L17" s="36">
        <v>28154085</v>
      </c>
      <c r="M17" s="233">
        <v>22249.47</v>
      </c>
      <c r="N17" s="237">
        <v>1265.382276521643</v>
      </c>
      <c r="O17" s="238">
        <v>-0.018509203942543205</v>
      </c>
      <c r="P17" s="239">
        <v>1.0650564226319295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0.07580691579020521</v>
      </c>
      <c r="E19" s="240"/>
      <c r="F19" s="46"/>
      <c r="G19" s="244"/>
      <c r="H19" s="44"/>
      <c r="I19" s="243">
        <v>0.0602434624591338</v>
      </c>
      <c r="J19" s="45"/>
      <c r="K19" s="46"/>
      <c r="L19" s="43"/>
      <c r="M19" s="44"/>
      <c r="N19" s="243">
        <v>0.07520974581618749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0</v>
      </c>
      <c r="C24" s="214">
        <v>0</v>
      </c>
      <c r="D24" s="249" t="s">
        <v>108</v>
      </c>
      <c r="E24" s="216" t="s">
        <v>108</v>
      </c>
      <c r="F24" s="250"/>
      <c r="G24" s="19">
        <v>1172575</v>
      </c>
      <c r="H24" s="214">
        <v>1380.78</v>
      </c>
      <c r="I24" s="249">
        <v>849.2120395718363</v>
      </c>
      <c r="J24" s="216" t="s">
        <v>108</v>
      </c>
      <c r="K24" s="250"/>
      <c r="L24" s="19">
        <v>688720085</v>
      </c>
      <c r="M24" s="214">
        <v>299469.7</v>
      </c>
      <c r="N24" s="251">
        <v>2299.798894512533</v>
      </c>
      <c r="O24" s="216" t="s">
        <v>108</v>
      </c>
      <c r="P24" s="252"/>
    </row>
    <row r="25" spans="1:16" ht="12.75">
      <c r="A25" s="223">
        <v>2011</v>
      </c>
      <c r="B25" s="28">
        <v>0</v>
      </c>
      <c r="C25" s="224">
        <v>0</v>
      </c>
      <c r="D25" s="253" t="s">
        <v>108</v>
      </c>
      <c r="E25" s="226" t="s">
        <v>108</v>
      </c>
      <c r="F25" s="189" t="s">
        <v>108</v>
      </c>
      <c r="G25" s="28">
        <v>1172650</v>
      </c>
      <c r="H25" s="224">
        <v>1381</v>
      </c>
      <c r="I25" s="253">
        <v>849.1310644460535</v>
      </c>
      <c r="J25" s="226">
        <v>-9.535324749231029E-05</v>
      </c>
      <c r="K25" s="189">
        <v>-9.535324749231029E-05</v>
      </c>
      <c r="L25" s="28">
        <v>779098285</v>
      </c>
      <c r="M25" s="224">
        <v>299326.92</v>
      </c>
      <c r="N25" s="254">
        <v>2602.8340016995467</v>
      </c>
      <c r="O25" s="226">
        <v>0.1317659156677024</v>
      </c>
      <c r="P25" s="255">
        <v>0.1317659156677024</v>
      </c>
    </row>
    <row r="26" spans="1:16" ht="12.75">
      <c r="A26" s="231">
        <v>2012</v>
      </c>
      <c r="B26" s="28">
        <v>0</v>
      </c>
      <c r="C26" s="224">
        <v>0</v>
      </c>
      <c r="D26" s="253" t="s">
        <v>108</v>
      </c>
      <c r="E26" s="226" t="s">
        <v>108</v>
      </c>
      <c r="F26" s="189" t="s">
        <v>108</v>
      </c>
      <c r="G26" s="28">
        <v>1244780</v>
      </c>
      <c r="H26" s="224">
        <v>1461.41</v>
      </c>
      <c r="I26" s="253">
        <v>851.7664447348793</v>
      </c>
      <c r="J26" s="226">
        <v>0.003103620158502887</v>
      </c>
      <c r="K26" s="189">
        <v>0.0030079709707494812</v>
      </c>
      <c r="L26" s="28">
        <v>861885410</v>
      </c>
      <c r="M26" s="224">
        <v>300161.46</v>
      </c>
      <c r="N26" s="254">
        <v>2871.405975970399</v>
      </c>
      <c r="O26" s="226">
        <v>0.1031844420717901</v>
      </c>
      <c r="P26" s="255">
        <v>0.2485465502317429</v>
      </c>
    </row>
    <row r="27" spans="1:16" ht="12.75">
      <c r="A27" s="231">
        <v>2013</v>
      </c>
      <c r="B27" s="28">
        <v>0</v>
      </c>
      <c r="C27" s="224">
        <v>0</v>
      </c>
      <c r="D27" s="253" t="s">
        <v>108</v>
      </c>
      <c r="E27" s="226" t="s">
        <v>108</v>
      </c>
      <c r="F27" s="189" t="s">
        <v>108</v>
      </c>
      <c r="G27" s="256">
        <v>1329605</v>
      </c>
      <c r="H27" s="224">
        <v>1329605</v>
      </c>
      <c r="I27" s="253">
        <v>911.1314406320882</v>
      </c>
      <c r="J27" s="226">
        <v>0.06969633080073595</v>
      </c>
      <c r="K27" s="189">
        <v>0.0729139463113018</v>
      </c>
      <c r="L27" s="28">
        <v>861885410</v>
      </c>
      <c r="M27" s="224">
        <v>300170.47</v>
      </c>
      <c r="N27" s="254">
        <v>3325.3240900079213</v>
      </c>
      <c r="O27" s="226">
        <v>0.158082179195897</v>
      </c>
      <c r="P27" s="255">
        <v>0.4459195097198963</v>
      </c>
    </row>
    <row r="28" spans="1:16" ht="12.75">
      <c r="A28" s="231">
        <v>2014</v>
      </c>
      <c r="B28" s="28">
        <v>0</v>
      </c>
      <c r="C28" s="224">
        <v>0</v>
      </c>
      <c r="D28" s="253" t="s">
        <v>108</v>
      </c>
      <c r="E28" s="226" t="s">
        <v>108</v>
      </c>
      <c r="F28" s="189" t="s">
        <v>108</v>
      </c>
      <c r="G28" s="28">
        <v>1730110</v>
      </c>
      <c r="H28" s="224">
        <v>1465.08</v>
      </c>
      <c r="I28" s="253">
        <v>1180.8979714418326</v>
      </c>
      <c r="J28" s="226">
        <v>0.29607861037327016</v>
      </c>
      <c r="K28" s="189">
        <v>0.3905808165852534</v>
      </c>
      <c r="L28" s="28">
        <v>1498786940</v>
      </c>
      <c r="M28" s="224">
        <v>300361.55</v>
      </c>
      <c r="N28" s="254">
        <v>4989.942753990982</v>
      </c>
      <c r="O28" s="226">
        <v>0.5005883994841223</v>
      </c>
      <c r="P28" s="255">
        <v>1.169730042873446</v>
      </c>
    </row>
    <row r="29" spans="1:16" ht="12.75">
      <c r="A29" s="231">
        <v>2015</v>
      </c>
      <c r="B29" s="28">
        <v>0</v>
      </c>
      <c r="C29" s="224">
        <v>0</v>
      </c>
      <c r="D29" s="253" t="s">
        <v>108</v>
      </c>
      <c r="E29" s="226" t="s">
        <v>108</v>
      </c>
      <c r="F29" s="189" t="s">
        <v>108</v>
      </c>
      <c r="G29" s="28">
        <v>2022990</v>
      </c>
      <c r="H29" s="224">
        <v>1461.69</v>
      </c>
      <c r="I29" s="253">
        <v>1384.007552901094</v>
      </c>
      <c r="J29" s="226">
        <v>0.1719958763340681</v>
      </c>
      <c r="K29" s="189">
        <v>0.6297549827471781</v>
      </c>
      <c r="L29" s="28">
        <v>1693543800</v>
      </c>
      <c r="M29" s="224">
        <v>300527.23</v>
      </c>
      <c r="N29" s="254">
        <v>5635.242437099627</v>
      </c>
      <c r="O29" s="226">
        <v>0.1293200573478585</v>
      </c>
      <c r="P29" s="255">
        <v>1.4503196564472116</v>
      </c>
    </row>
    <row r="30" spans="1:16" ht="12.75">
      <c r="A30" s="231">
        <v>2016</v>
      </c>
      <c r="B30" s="28">
        <v>0</v>
      </c>
      <c r="C30" s="224">
        <v>0</v>
      </c>
      <c r="D30" s="253" t="s">
        <v>108</v>
      </c>
      <c r="E30" s="226" t="s">
        <v>108</v>
      </c>
      <c r="F30" s="189" t="s">
        <v>108</v>
      </c>
      <c r="G30" s="28">
        <v>2063170</v>
      </c>
      <c r="H30" s="224">
        <v>1461.69</v>
      </c>
      <c r="I30" s="253">
        <v>1411.4962817013184</v>
      </c>
      <c r="J30" s="226">
        <v>0.019861689874888167</v>
      </c>
      <c r="K30" s="189">
        <v>0.6621246707865562</v>
      </c>
      <c r="L30" s="28">
        <v>1729062710</v>
      </c>
      <c r="M30" s="224">
        <v>300534.76</v>
      </c>
      <c r="N30" s="254">
        <v>5753.286940918249</v>
      </c>
      <c r="O30" s="226">
        <v>0.020947546647057374</v>
      </c>
      <c r="P30" s="255">
        <v>1.5016478417508412</v>
      </c>
    </row>
    <row r="31" spans="1:16" ht="12.75">
      <c r="A31" s="231">
        <v>2017</v>
      </c>
      <c r="B31" s="28">
        <v>0</v>
      </c>
      <c r="C31" s="224">
        <v>0</v>
      </c>
      <c r="D31" s="253" t="s">
        <v>108</v>
      </c>
      <c r="E31" s="257" t="s">
        <v>108</v>
      </c>
      <c r="F31" s="189" t="s">
        <v>108</v>
      </c>
      <c r="G31" s="28">
        <v>2120120</v>
      </c>
      <c r="H31" s="224">
        <v>1499.79</v>
      </c>
      <c r="I31" s="258">
        <v>1413.6112389067803</v>
      </c>
      <c r="J31" s="226">
        <v>0.00149837957979789</v>
      </c>
      <c r="K31" s="189">
        <v>0.6646151644523411</v>
      </c>
      <c r="L31" s="28">
        <v>1704542115</v>
      </c>
      <c r="M31" s="224">
        <v>301151.84</v>
      </c>
      <c r="N31" s="254">
        <v>5660.075379250547</v>
      </c>
      <c r="O31" s="226">
        <v>-0.01620144495223543</v>
      </c>
      <c r="P31" s="255">
        <v>1.4611175319528362</v>
      </c>
    </row>
    <row r="32" spans="1:16" ht="12.75">
      <c r="A32" s="231">
        <v>2018</v>
      </c>
      <c r="B32" s="28">
        <v>0</v>
      </c>
      <c r="C32" s="224">
        <v>0</v>
      </c>
      <c r="D32" s="253" t="s">
        <v>108</v>
      </c>
      <c r="E32" s="226" t="s">
        <v>108</v>
      </c>
      <c r="F32" s="189" t="s">
        <v>108</v>
      </c>
      <c r="G32" s="28">
        <v>55735</v>
      </c>
      <c r="H32" s="224">
        <v>111.47</v>
      </c>
      <c r="I32" s="253">
        <v>500</v>
      </c>
      <c r="J32" s="226">
        <v>-0.6462959643793748</v>
      </c>
      <c r="K32" s="189">
        <v>-0.41121889857791616</v>
      </c>
      <c r="L32" s="28">
        <v>1576976845</v>
      </c>
      <c r="M32" s="224">
        <v>299699.03</v>
      </c>
      <c r="N32" s="254">
        <v>5261.868365072786</v>
      </c>
      <c r="O32" s="226">
        <v>-0.07035365918227172</v>
      </c>
      <c r="P32" s="255">
        <v>1.2879689079023127</v>
      </c>
    </row>
    <row r="33" spans="1:16" ht="12.75">
      <c r="A33" s="231">
        <v>2019</v>
      </c>
      <c r="B33" s="28">
        <v>0</v>
      </c>
      <c r="C33" s="224">
        <v>0</v>
      </c>
      <c r="D33" s="253" t="s">
        <v>108</v>
      </c>
      <c r="E33" s="226" t="s">
        <v>108</v>
      </c>
      <c r="F33" s="189" t="s">
        <v>108</v>
      </c>
      <c r="G33" s="28">
        <v>479255</v>
      </c>
      <c r="H33" s="224">
        <v>390.57</v>
      </c>
      <c r="I33" s="253">
        <v>1227.0655708323732</v>
      </c>
      <c r="J33" s="226">
        <v>1.4541311416647464</v>
      </c>
      <c r="K33" s="189">
        <v>0.4449460366236054</v>
      </c>
      <c r="L33" s="28">
        <v>1517131015</v>
      </c>
      <c r="M33" s="224">
        <v>299987.44</v>
      </c>
      <c r="N33" s="254">
        <v>5057.315116259534</v>
      </c>
      <c r="O33" s="226">
        <v>-0.03887464197527917</v>
      </c>
      <c r="P33" s="255">
        <v>1.1990249357570397</v>
      </c>
    </row>
    <row r="34" spans="1:16" ht="13.5" thickBot="1">
      <c r="A34" s="232">
        <v>2020</v>
      </c>
      <c r="B34" s="259">
        <v>10765</v>
      </c>
      <c r="C34" s="233">
        <v>21.53</v>
      </c>
      <c r="D34" s="260">
        <v>500</v>
      </c>
      <c r="E34" s="235" t="s">
        <v>108</v>
      </c>
      <c r="F34" s="190" t="s">
        <v>108</v>
      </c>
      <c r="G34" s="36">
        <v>479270</v>
      </c>
      <c r="H34" s="233">
        <v>390.58</v>
      </c>
      <c r="I34" s="260">
        <v>1227.072558758769</v>
      </c>
      <c r="J34" s="235">
        <v>5.694827205593076E-06</v>
      </c>
      <c r="K34" s="190">
        <v>0.44495426534160537</v>
      </c>
      <c r="L34" s="28">
        <v>1456655275</v>
      </c>
      <c r="M34" s="233">
        <v>300196.6</v>
      </c>
      <c r="N34" s="261">
        <v>4852.337684703958</v>
      </c>
      <c r="O34" s="235">
        <v>-0.040530879892487374</v>
      </c>
      <c r="P34" s="262">
        <v>1.1098965202052864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18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0.07752192452187741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f>VLOOKUP($A57,'[1]cntysect2020'!$A$3:$O$96,15)</f>
        <v>6542</v>
      </c>
      <c r="B4" s="276" t="str">
        <f>VLOOKUP($A57,'[1]cntysect2020'!$A$3:$N$96,2)</f>
        <v>CLAY</v>
      </c>
      <c r="C4" s="275">
        <f>VLOOKUP($A57,'[1]cntysect2020'!$A$3:$O$96,3)</f>
        <v>76565441</v>
      </c>
      <c r="D4" s="275">
        <f>VLOOKUP($A57,'[1]cntysect2020'!$A$3:$O$96,4)</f>
        <v>27502416</v>
      </c>
      <c r="E4" s="275">
        <f>VLOOKUP($A57,'[1]cntysect2020'!$A$3:$O$96,5)</f>
        <v>90146520</v>
      </c>
      <c r="F4" s="275">
        <f>VLOOKUP($A57,'[1]cntysect2020'!$A$3:$O$96,6)</f>
        <v>240041387</v>
      </c>
      <c r="G4" s="275">
        <f>VLOOKUP($A57,'[1]cntysect2020'!$A$3:$O$96,7)</f>
        <v>67692455</v>
      </c>
      <c r="H4" s="275">
        <f>VLOOKUP($A57,'[1]cntysect2020'!$A$3:$O$96,8)</f>
        <v>19509045</v>
      </c>
      <c r="I4" s="275">
        <f>VLOOKUP($A57,'[1]cntysect2020'!$A$3:$O$96,9)</f>
        <v>274725</v>
      </c>
      <c r="J4" s="275">
        <f>VLOOKUP($A57,'[1]cntysect2020'!$A$3:$O$96,10)</f>
        <v>1456467830</v>
      </c>
      <c r="K4" s="275">
        <f>VLOOKUP($A57,'[1]cntysect2020'!$A$3:$O$96,11)</f>
        <v>40277690</v>
      </c>
      <c r="L4" s="275">
        <f>VLOOKUP($A57,'[1]cntysect2020'!$A$3:$O$96,12)</f>
        <v>51362145</v>
      </c>
      <c r="M4" s="275">
        <f>VLOOKUP($A57,'[1]cntysect2020'!$A$3:$O$96,13)</f>
        <v>0</v>
      </c>
      <c r="N4" s="275">
        <f>VLOOKUP($A57,'[1]cntysect2020'!$A$3:$O$96,14)</f>
        <v>2069839654</v>
      </c>
      <c r="O4" s="26"/>
    </row>
    <row r="5" spans="1:15" ht="12.75">
      <c r="A5" s="277" t="s">
        <v>97</v>
      </c>
      <c r="B5" s="278"/>
      <c r="C5" s="279">
        <f aca="true" t="shared" si="0" ref="C5:M5">IF(C4&gt;0,+C4/$N$4," ")</f>
        <v>0.036991001139646734</v>
      </c>
      <c r="D5" s="279">
        <f t="shared" si="0"/>
        <v>0.013287220556844158</v>
      </c>
      <c r="E5" s="279">
        <f t="shared" si="0"/>
        <v>0.04355241712844293</v>
      </c>
      <c r="F5" s="279">
        <f t="shared" si="0"/>
        <v>0.11597100603233491</v>
      </c>
      <c r="G5" s="279">
        <f t="shared" si="0"/>
        <v>0.03270420240968096</v>
      </c>
      <c r="H5" s="279">
        <f t="shared" si="0"/>
        <v>0.009425389528265361</v>
      </c>
      <c r="I5" s="279">
        <f t="shared" si="0"/>
        <v>0.0001327276726335247</v>
      </c>
      <c r="J5" s="279">
        <f t="shared" si="0"/>
        <v>0.7036621543052146</v>
      </c>
      <c r="K5" s="279">
        <f t="shared" si="0"/>
        <v>0.019459328611355322</v>
      </c>
      <c r="L5" s="279">
        <f t="shared" si="0"/>
        <v>0.024814552615581496</v>
      </c>
      <c r="M5" s="279" t="str">
        <f t="shared" si="0"/>
        <v> </v>
      </c>
      <c r="N5" s="279">
        <f>SUM(C5:M5)</f>
        <v>1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f>+INDEX('[1]citysect2020'!$B$3:$R$2262,($A$57*15)-14,4)</f>
        <v>760</v>
      </c>
      <c r="B8" s="284" t="str">
        <f>+INDEX('[1]citysect2020'!$B$3:$R$2262,($A$57*15)-14,5)</f>
        <v>CLAY CENTER</v>
      </c>
      <c r="C8" s="284">
        <f>+INDEX('[1]citysect2020'!$B$3:$R$2262,($A$57*15)-14,6)</f>
        <v>838976</v>
      </c>
      <c r="D8" s="284">
        <f>+INDEX('[1]citysect2020'!$B$3:$R$2262,($A$57*15)-14,7)</f>
        <v>629809</v>
      </c>
      <c r="E8" s="284">
        <f>+INDEX('[1]citysect2020'!$B$3:$R$2262,($A$57*15)-14,8)</f>
        <v>64658</v>
      </c>
      <c r="F8" s="284">
        <f>+INDEX('[1]citysect2020'!$B$3:$R$2262,($A$57*15)-14,9)</f>
        <v>28230755</v>
      </c>
      <c r="G8" s="284">
        <f>+INDEX('[1]citysect2020'!$B$3:$R$2262,($A$57*15)-14,10)</f>
        <v>6428095</v>
      </c>
      <c r="H8" s="284">
        <f>+INDEX('[1]citysect2020'!$B$3:$R$2262,($A$57*15)-14,11)</f>
        <v>0</v>
      </c>
      <c r="I8" s="284">
        <f>+INDEX('[1]citysect2020'!$B$3:$R$2262,($A$57*15)-14,12)</f>
        <v>0</v>
      </c>
      <c r="J8" s="284">
        <f>+INDEX('[1]citysect2020'!$B$3:$R$2262,($A$57*15)-14,13)</f>
        <v>32690</v>
      </c>
      <c r="K8" s="284">
        <f>+INDEX('[1]citysect2020'!$B$3:$R$2262,($A$57*15)-14,14)</f>
        <v>0</v>
      </c>
      <c r="L8" s="284">
        <f>+INDEX('[1]citysect2020'!$B$3:$R$2262,($A$57*15)-14,15)</f>
        <v>0</v>
      </c>
      <c r="M8" s="284">
        <f>+INDEX('[1]citysect2020'!$B$3:$R$2262,($A$57*15)-14,16)</f>
        <v>0</v>
      </c>
      <c r="N8" s="284">
        <f>+INDEX('[1]citysect2020'!$B$3:$R$2262,($A$57*15)-14,17)</f>
        <v>36224983</v>
      </c>
      <c r="O8" s="26"/>
    </row>
    <row r="9" spans="1:14" s="287" customFormat="1" ht="12.75">
      <c r="A9" s="285">
        <f>IF(A8&gt;0,A8/$A$4," ")</f>
        <v>0.11617242433506574</v>
      </c>
      <c r="B9" s="286" t="s">
        <v>100</v>
      </c>
      <c r="C9" s="285">
        <f>+IF(C8&gt;0,(C8/$C$4),"  ")</f>
        <v>0.010957632961325202</v>
      </c>
      <c r="D9" s="285">
        <f>+IF(D8&gt;0,(D8/$D$4),"  ")</f>
        <v>0.022900133573719488</v>
      </c>
      <c r="E9" s="285">
        <f>+IF(E8&gt;0,(E8/$E$4),"  ")</f>
        <v>0.0007172545318443796</v>
      </c>
      <c r="F9" s="285">
        <f>+IF(F8&gt;0,(F8/$F$4),"  ")</f>
        <v>0.11760786484707322</v>
      </c>
      <c r="G9" s="285">
        <f>+IF(G8&gt;0,(G8/$G$4),"  ")</f>
        <v>0.09496028767164671</v>
      </c>
      <c r="H9" s="285" t="str">
        <f>+IF(H8&gt;0,(H8/$H$4),"  ")</f>
        <v>  </v>
      </c>
      <c r="I9" s="285" t="str">
        <f>+IF(I8&gt;0,(I8/$I$4),"  ")</f>
        <v>  </v>
      </c>
      <c r="J9" s="285">
        <f>+IF(J8&gt;0,(J8/$J$4),"  ")</f>
        <v>2.2444711326030454E-05</v>
      </c>
      <c r="K9" s="285" t="str">
        <f>+IF(K8&gt;0,(K8/$K$4),"  ")</f>
        <v>  </v>
      </c>
      <c r="L9" s="285" t="str">
        <f>+IF(L8&gt;0,(L8/$L$4),"  ")</f>
        <v>  </v>
      </c>
      <c r="M9" s="285" t="str">
        <f>+IF(M8&gt;0,(M8/$M$4),"  ")</f>
        <v>  </v>
      </c>
      <c r="N9" s="285">
        <f>+IF(N8&gt;0,(N8/$N$4),"  ")</f>
        <v>0.017501347473943024</v>
      </c>
    </row>
    <row r="10" spans="1:14" s="287" customFormat="1" ht="12.75">
      <c r="A10" s="288"/>
      <c r="B10" s="286" t="s">
        <v>101</v>
      </c>
      <c r="C10" s="285">
        <f>IF(C8&gt;0,(C8/$N8),"  ")</f>
        <v>0.02316014889503192</v>
      </c>
      <c r="D10" s="285">
        <f aca="true" t="shared" si="1" ref="D10:N10">IF(D8&gt;0,(D8/$N8),"  ")</f>
        <v>0.017386039905111894</v>
      </c>
      <c r="E10" s="285">
        <f t="shared" si="1"/>
        <v>0.0017849007686214788</v>
      </c>
      <c r="F10" s="285">
        <f t="shared" si="1"/>
        <v>0.7793172739377131</v>
      </c>
      <c r="G10" s="285">
        <f t="shared" si="1"/>
        <v>0.17744922061109042</v>
      </c>
      <c r="H10" s="285" t="str">
        <f t="shared" si="1"/>
        <v>  </v>
      </c>
      <c r="I10" s="285" t="str">
        <f t="shared" si="1"/>
        <v>  </v>
      </c>
      <c r="J10" s="285">
        <f t="shared" si="1"/>
        <v>0.0009024158824311939</v>
      </c>
      <c r="K10" s="285" t="str">
        <f t="shared" si="1"/>
        <v>  </v>
      </c>
      <c r="L10" s="285" t="str">
        <f t="shared" si="1"/>
        <v>  </v>
      </c>
      <c r="M10" s="285" t="str">
        <f t="shared" si="1"/>
        <v>  </v>
      </c>
      <c r="N10" s="285">
        <f t="shared" si="1"/>
        <v>1</v>
      </c>
    </row>
    <row r="11" spans="1:15" ht="12.75">
      <c r="A11" s="284">
        <f>+INDEX('[1]citysect2020'!$B$3:$R$2261,($A$57*15)-13,4)</f>
        <v>67</v>
      </c>
      <c r="B11" s="284" t="str">
        <f>+INDEX('[1]citysect2020'!$B$3:$R$2261,($A$57*15)-13,5)</f>
        <v>DEWEESE</v>
      </c>
      <c r="C11" s="284">
        <f>+INDEX('[1]citysect2020'!$B$3:$R$2261,($A$57*15)-13,6)</f>
        <v>316714</v>
      </c>
      <c r="D11" s="284">
        <f>+INDEX('[1]citysect2020'!$B$3:$R$2261,($A$57*15)-13,7)</f>
        <v>48529</v>
      </c>
      <c r="E11" s="284">
        <f>+INDEX('[1]citysect2020'!$B$3:$R$2261,($A$57*15)-13,8)</f>
        <v>2293</v>
      </c>
      <c r="F11" s="284">
        <f>+INDEX('[1]citysect2020'!$B$3:$R$2261,($A$57*15)-13,9)</f>
        <v>1907275</v>
      </c>
      <c r="G11" s="284">
        <f>+INDEX('[1]citysect2020'!$B$3:$R$2261,($A$57*15)-13,10)</f>
        <v>786960</v>
      </c>
      <c r="H11" s="284">
        <f>+INDEX('[1]citysect2020'!$B$3:$R$2261,($A$57*15)-13,11)</f>
        <v>0</v>
      </c>
      <c r="I11" s="284">
        <f>+INDEX('[1]citysect2020'!$B$3:$R$2261,($A$57*15)-13,12)</f>
        <v>0</v>
      </c>
      <c r="J11" s="284">
        <f>+INDEX('[1]citysect2020'!$B$3:$R$2261,($A$57*15)-13,13)</f>
        <v>5500</v>
      </c>
      <c r="K11" s="284">
        <f>+INDEX('[1]citysect2020'!$B$3:$R$2261,($A$57*15)-13,14)</f>
        <v>0</v>
      </c>
      <c r="L11" s="284">
        <f>+INDEX('[1]citysect2020'!$B$3:$R$2261,($A$57*15)-13,15)</f>
        <v>0</v>
      </c>
      <c r="M11" s="284">
        <f>+INDEX('[1]citysect2020'!$B$3:$R$2261,($A$57*15)-13,16)</f>
        <v>0</v>
      </c>
      <c r="N11" s="284">
        <f>+INDEX('[1]citysect2020'!$B$3:$R$2261,($A$57*15)-13,17)</f>
        <v>3067271</v>
      </c>
      <c r="O11" s="26"/>
    </row>
    <row r="12" spans="1:14" ht="12.75">
      <c r="A12" s="285">
        <f>IF(A11&gt;0,A11/$A$4," ")</f>
        <v>0.010241516355854479</v>
      </c>
      <c r="B12" s="286" t="s">
        <v>100</v>
      </c>
      <c r="C12" s="285">
        <f>+IF(C11&gt;0,(C11/$C$4),"  ")</f>
        <v>0.004136513756905024</v>
      </c>
      <c r="D12" s="285">
        <f>+IF(D11&gt;0,(D11/$D$4),"  ")</f>
        <v>0.0017645358865926543</v>
      </c>
      <c r="E12" s="285">
        <f>+IF(E11&gt;0,(E11/$E$4),"  ")</f>
        <v>2.5436367371696657E-05</v>
      </c>
      <c r="F12" s="285">
        <f>+IF(F11&gt;0,(F11/$F$4),"  ")</f>
        <v>0.007945608979504856</v>
      </c>
      <c r="G12" s="285">
        <f>+IF(G11&gt;0,(G11/$G$4),"  ")</f>
        <v>0.011625520155828297</v>
      </c>
      <c r="H12" s="285" t="str">
        <f>+IF(H11&gt;0,(H11/$H$4),"  ")</f>
        <v>  </v>
      </c>
      <c r="I12" s="285" t="str">
        <f>+IF(I11&gt;0,(I11/$I$4),"  ")</f>
        <v>  </v>
      </c>
      <c r="J12" s="285">
        <f>+IF(J11&gt;0,(J11/$J$4),"  ")</f>
        <v>3.776259170791297E-06</v>
      </c>
      <c r="K12" s="285" t="str">
        <f>+IF(K11&gt;0,(K11/$K$4),"  ")</f>
        <v>  </v>
      </c>
      <c r="L12" s="285" t="str">
        <f>+IF(L11&gt;0,(L11/$L$4),"  ")</f>
        <v>  </v>
      </c>
      <c r="M12" s="285" t="str">
        <f>+IF(M11&gt;0,(M11/$M$4),"  ")</f>
        <v>  </v>
      </c>
      <c r="N12" s="285">
        <f>+IF(N11&gt;0,(N11/$N$4),"  ")</f>
        <v>0.001481888219733566</v>
      </c>
    </row>
    <row r="13" spans="1:14" ht="12.75">
      <c r="A13" s="289"/>
      <c r="B13" s="286" t="s">
        <v>101</v>
      </c>
      <c r="C13" s="285">
        <f>IF(C11&gt;0,(C11/$N11),"  ")</f>
        <v>0.10325595619037248</v>
      </c>
      <c r="D13" s="285">
        <f aca="true" t="shared" si="2" ref="D13:N13">IF(D11&gt;0,(D11/$N11),"  ")</f>
        <v>0.01582155603466404</v>
      </c>
      <c r="E13" s="285">
        <f t="shared" si="2"/>
        <v>0.0007475700712457425</v>
      </c>
      <c r="F13" s="285">
        <f t="shared" si="2"/>
        <v>0.6218149618993561</v>
      </c>
      <c r="G13" s="285">
        <f t="shared" si="2"/>
        <v>0.25656683090603993</v>
      </c>
      <c r="H13" s="285" t="str">
        <f t="shared" si="2"/>
        <v>  </v>
      </c>
      <c r="I13" s="285" t="str">
        <f t="shared" si="2"/>
        <v>  </v>
      </c>
      <c r="J13" s="285">
        <f t="shared" si="2"/>
        <v>0.0017931248983216676</v>
      </c>
      <c r="K13" s="285" t="str">
        <f t="shared" si="2"/>
        <v>  </v>
      </c>
      <c r="L13" s="285" t="str">
        <f t="shared" si="2"/>
        <v>  </v>
      </c>
      <c r="M13" s="285" t="str">
        <f t="shared" si="2"/>
        <v>  </v>
      </c>
      <c r="N13" s="285">
        <f t="shared" si="2"/>
        <v>1</v>
      </c>
    </row>
    <row r="14" spans="1:15" ht="12.75">
      <c r="A14" s="284">
        <f>+INDEX('[1]citysect2020'!$B$3:$R$2261,($A$57*15)-12,4)</f>
        <v>498</v>
      </c>
      <c r="B14" s="284" t="str">
        <f>+INDEX('[1]citysect2020'!$B$3:$R$2261,($A$57*15)-12,5)</f>
        <v>EDGAR</v>
      </c>
      <c r="C14" s="284">
        <f>+INDEX('[1]citysect2020'!$B$3:$R$2261,($A$57*15)-12,6)</f>
        <v>562829</v>
      </c>
      <c r="D14" s="284">
        <f>+INDEX('[1]citysect2020'!$B$3:$R$2261,($A$57*15)-12,7)</f>
        <v>885657</v>
      </c>
      <c r="E14" s="284">
        <f>+INDEX('[1]citysect2020'!$B$3:$R$2261,($A$57*15)-12,8)</f>
        <v>2023433</v>
      </c>
      <c r="F14" s="284">
        <f>+INDEX('[1]citysect2020'!$B$3:$R$2261,($A$57*15)-12,9)</f>
        <v>13193280</v>
      </c>
      <c r="G14" s="284">
        <f>+INDEX('[1]citysect2020'!$B$3:$R$2261,($A$57*15)-12,10)</f>
        <v>3505935</v>
      </c>
      <c r="H14" s="284">
        <f>+INDEX('[1]citysect2020'!$B$3:$R$2261,($A$57*15)-12,11)</f>
        <v>0</v>
      </c>
      <c r="I14" s="284">
        <f>+INDEX('[1]citysect2020'!$B$3:$R$2261,($A$57*15)-12,12)</f>
        <v>0</v>
      </c>
      <c r="J14" s="284">
        <f>+INDEX('[1]citysect2020'!$B$3:$R$2261,($A$57*15)-12,13)</f>
        <v>334600</v>
      </c>
      <c r="K14" s="284">
        <f>+INDEX('[1]citysect2020'!$B$3:$R$2261,($A$57*15)-12,14)</f>
        <v>66735</v>
      </c>
      <c r="L14" s="284">
        <f>+INDEX('[1]citysect2020'!$B$3:$R$2261,($A$57*15)-12,15)</f>
        <v>40560</v>
      </c>
      <c r="M14" s="284">
        <f>+INDEX('[1]citysect2020'!$B$3:$R$2261,($A$57*15)-12,16)</f>
        <v>0</v>
      </c>
      <c r="N14" s="284">
        <f>+INDEX('[1]citysect2020'!$B$3:$R$2261,($A$57*15)-12,17)</f>
        <v>20613029</v>
      </c>
      <c r="O14" s="26"/>
    </row>
    <row r="15" spans="1:14" ht="12.75">
      <c r="A15" s="285">
        <f>IF(A14&gt;0,A14/$A$4," ")</f>
        <v>0.07612350963008255</v>
      </c>
      <c r="B15" s="286" t="s">
        <v>100</v>
      </c>
      <c r="C15" s="285">
        <f>+IF(C14&gt;0,(C14/$C$4),"  ")</f>
        <v>0.007350953545738736</v>
      </c>
      <c r="D15" s="285">
        <f>+IF(D14&gt;0,(D14/$D$4),"  ")</f>
        <v>0.03220287992153126</v>
      </c>
      <c r="E15" s="285">
        <f>+IF(E14&gt;0,(E14/$E$4),"  ")</f>
        <v>0.02244604672482088</v>
      </c>
      <c r="F15" s="285">
        <f>+IF(F14&gt;0,(F14/$F$4),"  ")</f>
        <v>0.05496252194210159</v>
      </c>
      <c r="G15" s="285">
        <f>+IF(G14&gt;0,(G14/$G$4),"  ")</f>
        <v>0.0517921088842176</v>
      </c>
      <c r="H15" s="285" t="str">
        <f>+IF(H14&gt;0,(H14/$H$4),"  ")</f>
        <v>  </v>
      </c>
      <c r="I15" s="285" t="str">
        <f>+IF(I14&gt;0,(I14/$I$4),"  ")</f>
        <v>  </v>
      </c>
      <c r="J15" s="285">
        <f>+IF(J14&gt;0,(J14/$J$4),"  ")</f>
        <v>0.00022973387609941237</v>
      </c>
      <c r="K15" s="285">
        <f>+IF(K14&gt;0,(K14/$K$4),"  ")</f>
        <v>0.0016568725763567872</v>
      </c>
      <c r="L15" s="285">
        <f>+IF(L14&gt;0,(L14/$L$4),"  ")</f>
        <v>0.0007896866456803936</v>
      </c>
      <c r="M15" s="285" t="str">
        <f>+IF(M14&gt;0,(M14/$M$4),"  ")</f>
        <v>  </v>
      </c>
      <c r="N15" s="285">
        <f>+IF(N14&gt;0,(N14/$N$4),"  ")</f>
        <v>0.009958756447710803</v>
      </c>
    </row>
    <row r="16" spans="1:14" ht="12.75">
      <c r="A16" s="289"/>
      <c r="B16" s="286" t="s">
        <v>101</v>
      </c>
      <c r="C16" s="285">
        <f>IF(C14&gt;0,(C14/$N14),"  ")</f>
        <v>0.027304526666119763</v>
      </c>
      <c r="D16" s="285">
        <f aca="true" t="shared" si="3" ref="D16:N16">IF(D14&gt;0,(D14/$N14),"  ")</f>
        <v>0.04296588337405434</v>
      </c>
      <c r="E16" s="285">
        <f t="shared" si="3"/>
        <v>0.09816281731326337</v>
      </c>
      <c r="F16" s="285">
        <f t="shared" si="3"/>
        <v>0.640045672084389</v>
      </c>
      <c r="G16" s="285">
        <f t="shared" si="3"/>
        <v>0.17008344576626755</v>
      </c>
      <c r="H16" s="285" t="str">
        <f t="shared" si="3"/>
        <v>  </v>
      </c>
      <c r="I16" s="285" t="str">
        <f t="shared" si="3"/>
        <v>  </v>
      </c>
      <c r="J16" s="285">
        <f t="shared" si="3"/>
        <v>0.016232451814820616</v>
      </c>
      <c r="K16" s="285">
        <f t="shared" si="3"/>
        <v>0.003237515456850131</v>
      </c>
      <c r="L16" s="285">
        <f t="shared" si="3"/>
        <v>0.0019676875242352785</v>
      </c>
      <c r="M16" s="285" t="str">
        <f t="shared" si="3"/>
        <v>  </v>
      </c>
      <c r="N16" s="285">
        <f t="shared" si="3"/>
        <v>1</v>
      </c>
    </row>
    <row r="17" spans="1:15" ht="12.75">
      <c r="A17" s="284">
        <f>+INDEX('[1]citysect2020'!$B$3:$R$2261,($A$57*15)-11,4)</f>
        <v>387</v>
      </c>
      <c r="B17" s="284" t="str">
        <f>+INDEX('[1]citysect2020'!$B$3:$R$2261,($A$57*15)-11,5)</f>
        <v>FAIRFIELD</v>
      </c>
      <c r="C17" s="284">
        <f>+INDEX('[1]citysect2020'!$B$3:$R$2261,($A$57*15)-11,6)</f>
        <v>1815066</v>
      </c>
      <c r="D17" s="284">
        <f>+INDEX('[1]citysect2020'!$B$3:$R$2261,($A$57*15)-11,7)</f>
        <v>1286805</v>
      </c>
      <c r="E17" s="284">
        <f>+INDEX('[1]citysect2020'!$B$3:$R$2261,($A$57*15)-11,8)</f>
        <v>4101396</v>
      </c>
      <c r="F17" s="284">
        <f>+INDEX('[1]citysect2020'!$B$3:$R$2261,($A$57*15)-11,9)</f>
        <v>11215490</v>
      </c>
      <c r="G17" s="284">
        <f>+INDEX('[1]citysect2020'!$B$3:$R$2261,($A$57*15)-11,10)</f>
        <v>4096840</v>
      </c>
      <c r="H17" s="284">
        <f>+INDEX('[1]citysect2020'!$B$3:$R$2261,($A$57*15)-11,11)</f>
        <v>0</v>
      </c>
      <c r="I17" s="284">
        <f>+INDEX('[1]citysect2020'!$B$3:$R$2261,($A$57*15)-11,12)</f>
        <v>0</v>
      </c>
      <c r="J17" s="284">
        <f>+INDEX('[1]citysect2020'!$B$3:$R$2261,($A$57*15)-11,13)</f>
        <v>274670</v>
      </c>
      <c r="K17" s="284">
        <f>+INDEX('[1]citysect2020'!$B$3:$R$2261,($A$57*15)-11,14)</f>
        <v>157140</v>
      </c>
      <c r="L17" s="284">
        <f>+INDEX('[1]citysect2020'!$B$3:$R$2261,($A$57*15)-11,15)</f>
        <v>13770</v>
      </c>
      <c r="M17" s="284">
        <f>+INDEX('[1]citysect2020'!$B$3:$R$2261,($A$57*15)-11,16)</f>
        <v>0</v>
      </c>
      <c r="N17" s="284">
        <f>+INDEX('[1]citysect2020'!$B$3:$R$2261,($A$57*15)-11,17)</f>
        <v>22961177</v>
      </c>
      <c r="O17" s="26"/>
    </row>
    <row r="18" spans="1:14" ht="12.75">
      <c r="A18" s="285">
        <f>IF(A17&gt;0,A17/$A$4," ")</f>
        <v>0.05915622133904005</v>
      </c>
      <c r="B18" s="286" t="s">
        <v>100</v>
      </c>
      <c r="C18" s="285">
        <f>+IF(C17&gt;0,(C17/$C$4),"  ")</f>
        <v>0.023706073866929075</v>
      </c>
      <c r="D18" s="285">
        <f>+IF(D17&gt;0,(D17/$D$4),"  ")</f>
        <v>0.046788798482286065</v>
      </c>
      <c r="E18" s="285">
        <f>+IF(E17&gt;0,(E17/$E$4),"  ")</f>
        <v>0.0454969975546477</v>
      </c>
      <c r="F18" s="285">
        <f>+IF(F17&gt;0,(F17/$F$4),"  ")</f>
        <v>0.04672315112060238</v>
      </c>
      <c r="G18" s="285">
        <f>+IF(G17&gt;0,(G17/$G$4),"  ")</f>
        <v>0.06052136829724967</v>
      </c>
      <c r="H18" s="285" t="str">
        <f>+IF(H17&gt;0,(H17/$H$4),"  ")</f>
        <v>  </v>
      </c>
      <c r="I18" s="285" t="str">
        <f>+IF(I17&gt;0,(I17/$I$4),"  ")</f>
        <v>  </v>
      </c>
      <c r="J18" s="285">
        <f>+IF(J17&gt;0,(J17/$J$4),"  ")</f>
        <v>0.00018858638298931737</v>
      </c>
      <c r="K18" s="285">
        <f>+IF(K17&gt;0,(K17/$K$4),"  ")</f>
        <v>0.0039014153989466627</v>
      </c>
      <c r="L18" s="285">
        <f>+IF(L17&gt;0,(L17/$L$4),"  ")</f>
        <v>0.0002680962798574709</v>
      </c>
      <c r="M18" s="285" t="str">
        <f>+IF(M17&gt;0,(M17/$M$4),"  ")</f>
        <v>  </v>
      </c>
      <c r="N18" s="285">
        <f>+IF(N17&gt;0,(N17/$N$4),"  ")</f>
        <v>0.011093215339471895</v>
      </c>
    </row>
    <row r="19" spans="1:14" ht="12.75">
      <c r="A19" s="289"/>
      <c r="B19" s="286" t="s">
        <v>101</v>
      </c>
      <c r="C19" s="285">
        <f>IF(C17&gt;0,(C17/$N17),"  ")</f>
        <v>0.07904934490074267</v>
      </c>
      <c r="D19" s="285">
        <f aca="true" t="shared" si="4" ref="D19:N19">IF(D17&gt;0,(D17/$N17),"  ")</f>
        <v>0.056042641019665496</v>
      </c>
      <c r="E19" s="285">
        <f t="shared" si="4"/>
        <v>0.1786230731987302</v>
      </c>
      <c r="F19" s="285">
        <f t="shared" si="4"/>
        <v>0.48845448994187013</v>
      </c>
      <c r="G19" s="285">
        <f t="shared" si="4"/>
        <v>0.17842465131469523</v>
      </c>
      <c r="H19" s="285" t="str">
        <f t="shared" si="4"/>
        <v>  </v>
      </c>
      <c r="I19" s="285" t="str">
        <f t="shared" si="4"/>
        <v>  </v>
      </c>
      <c r="J19" s="285">
        <f t="shared" si="4"/>
        <v>0.011962365866523305</v>
      </c>
      <c r="K19" s="285">
        <f t="shared" si="4"/>
        <v>0.006843725824682245</v>
      </c>
      <c r="L19" s="285">
        <f t="shared" si="4"/>
        <v>0.0005997079330907122</v>
      </c>
      <c r="M19" s="285" t="str">
        <f t="shared" si="4"/>
        <v>  </v>
      </c>
      <c r="N19" s="285">
        <f t="shared" si="4"/>
        <v>1</v>
      </c>
    </row>
    <row r="20" spans="1:15" ht="12.75">
      <c r="A20" s="284">
        <f>+INDEX('[1]citysect2020'!$B$3:$R$2261,($A$57*15)-10,4)</f>
        <v>310</v>
      </c>
      <c r="B20" s="284" t="str">
        <f>+INDEX('[1]citysect2020'!$B$3:$R$2261,($A$57*15)-10,5)</f>
        <v>GLENVIL</v>
      </c>
      <c r="C20" s="284">
        <f>+INDEX('[1]citysect2020'!$B$3:$R$2261,($A$57*15)-10,6)</f>
        <v>13573</v>
      </c>
      <c r="D20" s="284">
        <f>+INDEX('[1]citysect2020'!$B$3:$R$2261,($A$57*15)-10,7)</f>
        <v>683829</v>
      </c>
      <c r="E20" s="284">
        <f>+INDEX('[1]citysect2020'!$B$3:$R$2261,($A$57*15)-10,8)</f>
        <v>3137981</v>
      </c>
      <c r="F20" s="284">
        <f>+INDEX('[1]citysect2020'!$B$3:$R$2261,($A$57*15)-10,9)</f>
        <v>8210650</v>
      </c>
      <c r="G20" s="284">
        <f>+INDEX('[1]citysect2020'!$B$3:$R$2261,($A$57*15)-10,10)</f>
        <v>415605</v>
      </c>
      <c r="H20" s="284">
        <f>+INDEX('[1]citysect2020'!$B$3:$R$2261,($A$57*15)-10,11)</f>
        <v>0</v>
      </c>
      <c r="I20" s="284">
        <f>+INDEX('[1]citysect2020'!$B$3:$R$2261,($A$57*15)-10,12)</f>
        <v>0</v>
      </c>
      <c r="J20" s="284">
        <f>+INDEX('[1]citysect2020'!$B$3:$R$2261,($A$57*15)-10,13)</f>
        <v>16845</v>
      </c>
      <c r="K20" s="284">
        <f>+INDEX('[1]citysect2020'!$B$3:$R$2261,($A$57*15)-10,14)</f>
        <v>0</v>
      </c>
      <c r="L20" s="284">
        <f>+INDEX('[1]citysect2020'!$B$3:$R$2261,($A$57*15)-10,15)</f>
        <v>0</v>
      </c>
      <c r="M20" s="284">
        <f>+INDEX('[1]citysect2020'!$B$3:$R$2261,($A$57*15)-10,16)</f>
        <v>0</v>
      </c>
      <c r="N20" s="284">
        <f>+INDEX('[1]citysect2020'!$B$3:$R$2261,($A$57*15)-10,17)</f>
        <v>12478483</v>
      </c>
      <c r="O20" s="26"/>
    </row>
    <row r="21" spans="1:15" ht="12.75">
      <c r="A21" s="285">
        <f>IF(A20&gt;0,A20/$A$4," ")</f>
        <v>0.047386120452461024</v>
      </c>
      <c r="B21" s="286" t="s">
        <v>100</v>
      </c>
      <c r="C21" s="285">
        <f>+IF(C20&gt;0,(C20/$C$4),"  ")</f>
        <v>0.00017727319039408394</v>
      </c>
      <c r="D21" s="285">
        <f>+IF(D20&gt;0,(D20/$D$4),"  ")</f>
        <v>0.024864324646969197</v>
      </c>
      <c r="E21" s="285">
        <f>+IF(E20&gt;0,(E20/$E$4),"  ")</f>
        <v>0.03480978522520892</v>
      </c>
      <c r="F21" s="285">
        <f>+IF(F20&gt;0,(F20/$F$4),"  ")</f>
        <v>0.034205143132254937</v>
      </c>
      <c r="G21" s="285">
        <f>+IF(G20&gt;0,(G20/$G$4),"  ")</f>
        <v>0.006139605957562035</v>
      </c>
      <c r="H21" s="285" t="str">
        <f>+IF(H20&gt;0,(H20/$H$4),"  ")</f>
        <v>  </v>
      </c>
      <c r="I21" s="285" t="str">
        <f>+IF(I20&gt;0,(I20/$I$4),"  ")</f>
        <v>  </v>
      </c>
      <c r="J21" s="285">
        <f>+IF(J20&gt;0,(J20/$J$4),"  ")</f>
        <v>1.1565651951268982E-05</v>
      </c>
      <c r="K21" s="285" t="str">
        <f>+IF(K20&gt;0,(K20/$K$4),"  ")</f>
        <v>  </v>
      </c>
      <c r="L21" s="285" t="str">
        <f>+IF(L20&gt;0,(L20/$L$4),"  ")</f>
        <v>  </v>
      </c>
      <c r="M21" s="285" t="str">
        <f>+IF(M20&gt;0,(M20/$M$4),"  ")</f>
        <v>  </v>
      </c>
      <c r="N21" s="285">
        <f>+IF(N20&gt;0,(N20/$N$4),"  ")</f>
        <v>0.006028719652696343</v>
      </c>
      <c r="O21" s="26"/>
    </row>
    <row r="22" spans="1:14" ht="12.75">
      <c r="A22" s="289"/>
      <c r="B22" s="286" t="s">
        <v>101</v>
      </c>
      <c r="C22" s="285">
        <f>IF(C20&gt;0,(C20/$N20),"  ")</f>
        <v>0.0010877123445213652</v>
      </c>
      <c r="D22" s="285">
        <f aca="true" t="shared" si="5" ref="D22:N22">IF(D20&gt;0,(D20/$N20),"  ")</f>
        <v>0.05480065164972377</v>
      </c>
      <c r="E22" s="285">
        <f t="shared" si="5"/>
        <v>0.2514713527277314</v>
      </c>
      <c r="F22" s="285">
        <f t="shared" si="5"/>
        <v>0.657984628419977</v>
      </c>
      <c r="G22" s="285">
        <f t="shared" si="5"/>
        <v>0.033305731153378176</v>
      </c>
      <c r="H22" s="285" t="str">
        <f t="shared" si="5"/>
        <v>  </v>
      </c>
      <c r="I22" s="285" t="str">
        <f t="shared" si="5"/>
        <v>  </v>
      </c>
      <c r="J22" s="285">
        <f t="shared" si="5"/>
        <v>0.0013499237046682678</v>
      </c>
      <c r="K22" s="285" t="str">
        <f t="shared" si="5"/>
        <v>  </v>
      </c>
      <c r="L22" s="285" t="str">
        <f t="shared" si="5"/>
        <v>  </v>
      </c>
      <c r="M22" s="285" t="str">
        <f t="shared" si="5"/>
        <v>  </v>
      </c>
      <c r="N22" s="285">
        <f t="shared" si="5"/>
        <v>1</v>
      </c>
    </row>
    <row r="23" spans="1:15" ht="14.25" customHeight="1">
      <c r="A23" s="284">
        <f>+INDEX('[1]citysect2020'!$B$3:$R$2261,($A$57*15)-9,4)</f>
        <v>1013</v>
      </c>
      <c r="B23" s="284" t="str">
        <f>+INDEX('[1]citysect2020'!$B$3:$R$2261,($A$57*15)-9,5)</f>
        <v>HARVARD</v>
      </c>
      <c r="C23" s="284">
        <f>+INDEX('[1]citysect2020'!$B$3:$R$2261,($A$57*15)-9,6)</f>
        <v>332713</v>
      </c>
      <c r="D23" s="284">
        <f>+INDEX('[1]citysect2020'!$B$3:$R$2261,($A$57*15)-9,7)</f>
        <v>795841</v>
      </c>
      <c r="E23" s="284">
        <f>+INDEX('[1]citysect2020'!$B$3:$R$2261,($A$57*15)-9,8)</f>
        <v>1005095</v>
      </c>
      <c r="F23" s="284">
        <f>+INDEX('[1]citysect2020'!$B$3:$R$2261,($A$57*15)-9,9)</f>
        <v>18438820</v>
      </c>
      <c r="G23" s="284">
        <f>+INDEX('[1]citysect2020'!$B$3:$R$2261,($A$57*15)-9,10)</f>
        <v>3047770</v>
      </c>
      <c r="H23" s="284">
        <f>+INDEX('[1]citysect2020'!$B$3:$R$2261,($A$57*15)-9,11)</f>
        <v>0</v>
      </c>
      <c r="I23" s="284">
        <f>+INDEX('[1]citysect2020'!$B$3:$R$2261,($A$57*15)-9,12)</f>
        <v>0</v>
      </c>
      <c r="J23" s="284">
        <f>+INDEX('[1]citysect2020'!$B$3:$R$2261,($A$57*15)-9,13)</f>
        <v>102480</v>
      </c>
      <c r="K23" s="284">
        <f>+INDEX('[1]citysect2020'!$B$3:$R$2261,($A$57*15)-9,14)</f>
        <v>62675</v>
      </c>
      <c r="L23" s="284">
        <f>+INDEX('[1]citysect2020'!$B$3:$R$2261,($A$57*15)-9,15)</f>
        <v>18590</v>
      </c>
      <c r="M23" s="284">
        <f>+INDEX('[1]citysect2020'!$B$3:$R$2261,($A$57*15)-9,16)</f>
        <v>0</v>
      </c>
      <c r="N23" s="284">
        <f>+INDEX('[1]citysect2020'!$B$3:$R$2261,($A$57*15)-9,17)</f>
        <v>23803984</v>
      </c>
      <c r="O23" s="26"/>
    </row>
    <row r="24" spans="1:14" ht="12.75">
      <c r="A24" s="285">
        <f>IF(A23&gt;0,A23/$A$4," ")</f>
        <v>0.15484561296239682</v>
      </c>
      <c r="B24" s="286" t="s">
        <v>100</v>
      </c>
      <c r="C24" s="285">
        <f>+IF(C23&gt;0,(C23/$C$4),"  ")</f>
        <v>0.004345472260781466</v>
      </c>
      <c r="D24" s="285">
        <f>+IF(D23&gt;0,(D23/$D$4),"  ")</f>
        <v>0.02893713046882863</v>
      </c>
      <c r="E24" s="285">
        <f>+IF(E23&gt;0,(E23/$E$4),"  ")</f>
        <v>0.01114957072108829</v>
      </c>
      <c r="F24" s="285">
        <f>+IF(F23&gt;0,(F23/$F$4),"  ")</f>
        <v>0.07681517021062706</v>
      </c>
      <c r="G24" s="285">
        <f>+IF(G23&gt;0,(G23/$G$4),"  ")</f>
        <v>0.0450237770221216</v>
      </c>
      <c r="H24" s="285" t="str">
        <f>+IF(H23&gt;0,(H23/$H$4),"  ")</f>
        <v>  </v>
      </c>
      <c r="I24" s="285" t="str">
        <f>+IF(I23&gt;0,(I23/$I$4),"  ")</f>
        <v>  </v>
      </c>
      <c r="J24" s="285">
        <f>+IF(J23&gt;0,(J23/$J$4),"  ")</f>
        <v>7.036200724048947E-05</v>
      </c>
      <c r="K24" s="285">
        <f>+IF(K23&gt;0,(K23/$K$4),"  ")</f>
        <v>0.0015560723566818255</v>
      </c>
      <c r="L24" s="285">
        <f>+IF(L23&gt;0,(L23/$L$4),"  ")</f>
        <v>0.0003619397126035137</v>
      </c>
      <c r="M24" s="285" t="str">
        <f>+IF(M23&gt;0,(M23/$M$4),"  ")</f>
        <v>  </v>
      </c>
      <c r="N24" s="285">
        <f>+IF(N23&gt;0,(N23/$N$4),"  ")</f>
        <v>0.011500400020841422</v>
      </c>
    </row>
    <row r="25" spans="1:14" ht="12.75">
      <c r="A25" s="289"/>
      <c r="B25" s="286" t="s">
        <v>101</v>
      </c>
      <c r="C25" s="285">
        <f>IF(C23&gt;0,(C23/$N23),"  ")</f>
        <v>0.013977198102636937</v>
      </c>
      <c r="D25" s="285">
        <f aca="true" t="shared" si="6" ref="D25:N25">IF(D23&gt;0,(D23/$N23),"  ")</f>
        <v>0.033433100946463415</v>
      </c>
      <c r="E25" s="285">
        <f t="shared" si="6"/>
        <v>0.04222381429932065</v>
      </c>
      <c r="F25" s="285">
        <f t="shared" si="6"/>
        <v>0.77461067021386</v>
      </c>
      <c r="G25" s="285">
        <f t="shared" si="6"/>
        <v>0.12803613042253767</v>
      </c>
      <c r="H25" s="285" t="str">
        <f t="shared" si="6"/>
        <v>  </v>
      </c>
      <c r="I25" s="285" t="str">
        <f t="shared" si="6"/>
        <v>  </v>
      </c>
      <c r="J25" s="285">
        <f t="shared" si="6"/>
        <v>0.004305161690580871</v>
      </c>
      <c r="K25" s="285">
        <f t="shared" si="6"/>
        <v>0.002632962616677948</v>
      </c>
      <c r="L25" s="285">
        <f t="shared" si="6"/>
        <v>0.0007809617079225057</v>
      </c>
      <c r="M25" s="285" t="str">
        <f t="shared" si="6"/>
        <v>  </v>
      </c>
      <c r="N25" s="285">
        <f t="shared" si="6"/>
        <v>1</v>
      </c>
    </row>
    <row r="26" spans="1:15" ht="12.75">
      <c r="A26" s="284">
        <f>+INDEX('[1]citysect2020'!$B$3:$R$2261,($A$57*15)-8,4)</f>
        <v>63</v>
      </c>
      <c r="B26" s="284" t="str">
        <f>+INDEX('[1]citysect2020'!$B$3:$R$2261,($A$57*15)-8,5)</f>
        <v>ONG</v>
      </c>
      <c r="C26" s="284">
        <f>+INDEX('[1]citysect2020'!$B$3:$R$2261,($A$57*15)-8,6)</f>
        <v>314230</v>
      </c>
      <c r="D26" s="284">
        <f>+INDEX('[1]citysect2020'!$B$3:$R$2261,($A$57*15)-8,7)</f>
        <v>41424</v>
      </c>
      <c r="E26" s="284">
        <f>+INDEX('[1]citysect2020'!$B$3:$R$2261,($A$57*15)-8,8)</f>
        <v>1957</v>
      </c>
      <c r="F26" s="284">
        <f>+INDEX('[1]citysect2020'!$B$3:$R$2261,($A$57*15)-8,9)</f>
        <v>1225925</v>
      </c>
      <c r="G26" s="284">
        <f>+INDEX('[1]citysect2020'!$B$3:$R$2261,($A$57*15)-8,10)</f>
        <v>716610</v>
      </c>
      <c r="H26" s="284">
        <f>+INDEX('[1]citysect2020'!$B$3:$R$2261,($A$57*15)-8,11)</f>
        <v>0</v>
      </c>
      <c r="I26" s="284">
        <f>+INDEX('[1]citysect2020'!$B$3:$R$2261,($A$57*15)-8,12)</f>
        <v>0</v>
      </c>
      <c r="J26" s="284">
        <f>+INDEX('[1]citysect2020'!$B$3:$R$2261,($A$57*15)-8,13)</f>
        <v>126795</v>
      </c>
      <c r="K26" s="284">
        <f>+INDEX('[1]citysect2020'!$B$3:$R$2261,($A$57*15)-8,14)</f>
        <v>0</v>
      </c>
      <c r="L26" s="284">
        <f>+INDEX('[1]citysect2020'!$B$3:$R$2261,($A$57*15)-8,15)</f>
        <v>8910</v>
      </c>
      <c r="M26" s="284">
        <f>+INDEX('[1]citysect2020'!$B$3:$R$2261,($A$57*15)-8,16)</f>
        <v>0</v>
      </c>
      <c r="N26" s="284">
        <f>+INDEX('[1]citysect2020'!$B$3:$R$2261,($A$57*15)-8,17)</f>
        <v>2435851</v>
      </c>
      <c r="O26" s="26"/>
    </row>
    <row r="27" spans="1:14" ht="12.75">
      <c r="A27" s="285">
        <f>IF(A26&gt;0,A26/$A$4," ")</f>
        <v>0.009630082543564658</v>
      </c>
      <c r="B27" s="286" t="s">
        <v>100</v>
      </c>
      <c r="C27" s="285">
        <f>+IF(C26&gt;0,(C26/$C$4),"  ")</f>
        <v>0.004104070921500994</v>
      </c>
      <c r="D27" s="285">
        <f>+IF(D26&gt;0,(D26/$D$4),"  ")</f>
        <v>0.0015061949466548684</v>
      </c>
      <c r="E27" s="285">
        <f>+IF(E26&gt;0,(E26/$E$4),"  ")</f>
        <v>2.1709102026345554E-05</v>
      </c>
      <c r="F27" s="285">
        <f>+IF(F26&gt;0,(F26/$F$4),"  ")</f>
        <v>0.005107140128297959</v>
      </c>
      <c r="G27" s="285">
        <f>+IF(G26&gt;0,(G26/$G$4),"  ")</f>
        <v>0.010586261053761457</v>
      </c>
      <c r="H27" s="285" t="str">
        <f aca="true" t="shared" si="7" ref="H27:N27">+IF(H26&gt;0,(H26/$G$4),"  ")</f>
        <v>  </v>
      </c>
      <c r="I27" s="285" t="str">
        <f t="shared" si="7"/>
        <v>  </v>
      </c>
      <c r="J27" s="285">
        <f t="shared" si="7"/>
        <v>0.001873103878415992</v>
      </c>
      <c r="K27" s="285" t="str">
        <f t="shared" si="7"/>
        <v>  </v>
      </c>
      <c r="L27" s="285">
        <f t="shared" si="7"/>
        <v>0.00013162471356667444</v>
      </c>
      <c r="M27" s="285" t="str">
        <f t="shared" si="7"/>
        <v>  </v>
      </c>
      <c r="N27" s="285">
        <f t="shared" si="7"/>
        <v>0.035984084193725875</v>
      </c>
    </row>
    <row r="28" spans="1:14" ht="12.75">
      <c r="A28" s="289"/>
      <c r="B28" s="286" t="s">
        <v>101</v>
      </c>
      <c r="C28" s="285">
        <f>IF(C26&gt;0,(C26/$N26),"  ")</f>
        <v>0.12900214339875468</v>
      </c>
      <c r="D28" s="285">
        <f aca="true" t="shared" si="8" ref="D28:N28">IF(D26&gt;0,(D26/$N26),"  ")</f>
        <v>0.01700596629268375</v>
      </c>
      <c r="E28" s="285">
        <f t="shared" si="8"/>
        <v>0.0008034153156330169</v>
      </c>
      <c r="F28" s="285">
        <f t="shared" si="8"/>
        <v>0.5032840678678622</v>
      </c>
      <c r="G28" s="285">
        <f t="shared" si="8"/>
        <v>0.2941928714030538</v>
      </c>
      <c r="H28" s="285" t="str">
        <f t="shared" si="8"/>
        <v>  </v>
      </c>
      <c r="I28" s="285" t="str">
        <f t="shared" si="8"/>
        <v>  </v>
      </c>
      <c r="J28" s="285">
        <f t="shared" si="8"/>
        <v>0.052053676517980776</v>
      </c>
      <c r="K28" s="285" t="str">
        <f t="shared" si="8"/>
        <v>  </v>
      </c>
      <c r="L28" s="285">
        <f t="shared" si="8"/>
        <v>0.0036578592040317735</v>
      </c>
      <c r="M28" s="285" t="str">
        <f t="shared" si="8"/>
        <v>  </v>
      </c>
      <c r="N28" s="285">
        <f t="shared" si="8"/>
        <v>1</v>
      </c>
    </row>
    <row r="29" spans="1:15" ht="14.25" customHeight="1">
      <c r="A29" s="284">
        <f>+INDEX('[1]citysect2020'!$B$3:$R$2261,($A$57*15)-7,4)</f>
        <v>47</v>
      </c>
      <c r="B29" s="284" t="str">
        <f>+INDEX('[1]citysect2020'!$B$3:$R$2261,($A$57*15)-7,5)</f>
        <v>SARONVILLE</v>
      </c>
      <c r="C29" s="284">
        <f>+INDEX('[1]citysect2020'!$B$3:$R$2261,($A$57*15)-7,6)</f>
        <v>206666</v>
      </c>
      <c r="D29" s="284">
        <f>+INDEX('[1]citysect2020'!$B$3:$R$2261,($A$57*15)-7,7)</f>
        <v>104039</v>
      </c>
      <c r="E29" s="284">
        <f>+INDEX('[1]citysect2020'!$B$3:$R$2261,($A$57*15)-7,8)</f>
        <v>288226</v>
      </c>
      <c r="F29" s="284">
        <f>+INDEX('[1]citysect2020'!$B$3:$R$2261,($A$57*15)-7,9)</f>
        <v>1366020</v>
      </c>
      <c r="G29" s="284">
        <f>+INDEX('[1]citysect2020'!$B$3:$R$2261,($A$57*15)-7,10)</f>
        <v>3625220</v>
      </c>
      <c r="H29" s="284">
        <f>+INDEX('[1]citysect2020'!$B$3:$R$2261,($A$57*15)-7,11)</f>
        <v>0</v>
      </c>
      <c r="I29" s="284">
        <f>+INDEX('[1]citysect2020'!$B$3:$R$2261,($A$57*15)-7,12)</f>
        <v>0</v>
      </c>
      <c r="J29" s="284">
        <f>+INDEX('[1]citysect2020'!$B$3:$R$2261,($A$57*15)-7,13)</f>
        <v>97745</v>
      </c>
      <c r="K29" s="284">
        <f>+INDEX('[1]citysect2020'!$B$3:$R$2261,($A$57*15)-7,14)</f>
        <v>0</v>
      </c>
      <c r="L29" s="284">
        <f>+INDEX('[1]citysect2020'!$B$3:$R$2261,($A$57*15)-7,15)</f>
        <v>0</v>
      </c>
      <c r="M29" s="284">
        <f>+INDEX('[1]citysect2020'!$B$3:$R$2261,($A$57*15)-7,16)</f>
        <v>0</v>
      </c>
      <c r="N29" s="284">
        <f>+INDEX('[1]citysect2020'!$B$3:$R$2261,($A$57*15)-7,17)</f>
        <v>5687916</v>
      </c>
      <c r="O29" s="26"/>
    </row>
    <row r="30" spans="1:14" ht="12.75">
      <c r="A30" s="285">
        <f>IF(A29&gt;0,A29/$A$4," ")</f>
        <v>0.007184347294405381</v>
      </c>
      <c r="B30" s="286" t="s">
        <v>100</v>
      </c>
      <c r="C30" s="285">
        <f>+IF(C29&gt;0,(C29/$C$4),"  ")</f>
        <v>0.0026992073355915237</v>
      </c>
      <c r="D30" s="285">
        <f>+IF(D29&gt;0,(D29/$D$4),"  ")</f>
        <v>0.0037829040183233356</v>
      </c>
      <c r="E30" s="285">
        <f>+IF(E29&gt;0,(E29/$E$4),"  ")</f>
        <v>0.003197305897110615</v>
      </c>
      <c r="F30" s="285">
        <f>+IF(F29&gt;0,(F29/$F$4),"  ")</f>
        <v>0.0056907686506577305</v>
      </c>
      <c r="G30" s="285">
        <f>+IF(G29&gt;0,(G29/$G$4),"  ")</f>
        <v>0.05355426982224237</v>
      </c>
      <c r="H30" s="285" t="str">
        <f>+IF(H29&gt;0,(H29/$H$4),"  ")</f>
        <v>  </v>
      </c>
      <c r="I30" s="285" t="str">
        <f aca="true" t="shared" si="9" ref="I30:N30">+IF(I29&gt;0,(I29/$H$4),"  ")</f>
        <v>  </v>
      </c>
      <c r="J30" s="285">
        <f t="shared" si="9"/>
        <v>0.0050102401219536885</v>
      </c>
      <c r="K30" s="285" t="str">
        <f t="shared" si="9"/>
        <v>  </v>
      </c>
      <c r="L30" s="285" t="str">
        <f t="shared" si="9"/>
        <v>  </v>
      </c>
      <c r="M30" s="285" t="str">
        <f t="shared" si="9"/>
        <v>  </v>
      </c>
      <c r="N30" s="285">
        <f t="shared" si="9"/>
        <v>0.291552764371603</v>
      </c>
    </row>
    <row r="31" spans="1:14" ht="12.75">
      <c r="A31" s="289"/>
      <c r="B31" s="286" t="s">
        <v>101</v>
      </c>
      <c r="C31" s="285">
        <f>IF(C29&gt;0,(C29/$N29),"  ")</f>
        <v>0.0363342215321042</v>
      </c>
      <c r="D31" s="285">
        <f aca="true" t="shared" si="10" ref="D31:N31">IF(D29&gt;0,(D29/$N29),"  ")</f>
        <v>0.018291233555488513</v>
      </c>
      <c r="E31" s="285">
        <f t="shared" si="10"/>
        <v>0.05067339250439001</v>
      </c>
      <c r="F31" s="285">
        <f t="shared" si="10"/>
        <v>0.24016177454097423</v>
      </c>
      <c r="G31" s="285">
        <f t="shared" si="10"/>
        <v>0.6373547007374933</v>
      </c>
      <c r="H31" s="285" t="str">
        <f t="shared" si="10"/>
        <v>  </v>
      </c>
      <c r="I31" s="285" t="str">
        <f t="shared" si="10"/>
        <v>  </v>
      </c>
      <c r="J31" s="285">
        <f t="shared" si="10"/>
        <v>0.017184677129549734</v>
      </c>
      <c r="K31" s="285" t="str">
        <f t="shared" si="10"/>
        <v>  </v>
      </c>
      <c r="L31" s="285" t="str">
        <f t="shared" si="10"/>
        <v>  </v>
      </c>
      <c r="M31" s="285" t="str">
        <f t="shared" si="10"/>
        <v>  </v>
      </c>
      <c r="N31" s="285">
        <f t="shared" si="10"/>
        <v>1</v>
      </c>
    </row>
    <row r="32" spans="1:15" ht="12.75">
      <c r="A32" s="290">
        <f>+INDEX('[1]citysect2020'!$B$3:$R$2261,($A$57*15)-6,4)</f>
        <v>1502</v>
      </c>
      <c r="B32" s="284" t="str">
        <f>+INDEX('[1]citysect2020'!$B$3:$R$2261,($A$57*15)-6,5)</f>
        <v>SUTTON</v>
      </c>
      <c r="C32" s="284">
        <f>+INDEX('[1]citysect2020'!$B$3:$R$2261,($A$57*15)-6,6)</f>
        <v>8232455</v>
      </c>
      <c r="D32" s="284">
        <f>+INDEX('[1]citysect2020'!$B$3:$R$2261,($A$57*15)-6,7)</f>
        <v>1532822</v>
      </c>
      <c r="E32" s="284">
        <f>+INDEX('[1]citysect2020'!$B$3:$R$2261,($A$57*15)-6,8)</f>
        <v>1534000</v>
      </c>
      <c r="F32" s="284">
        <f>+INDEX('[1]citysect2020'!$B$3:$R$2261,($A$57*15)-6,9)</f>
        <v>68151300</v>
      </c>
      <c r="G32" s="284">
        <f>+INDEX('[1]citysect2020'!$B$3:$R$2261,($A$57*15)-6,10)</f>
        <v>23169905</v>
      </c>
      <c r="H32" s="284">
        <f>+INDEX('[1]citysect2020'!$B$3:$R$2261,($A$57*15)-6,11)</f>
        <v>0</v>
      </c>
      <c r="I32" s="284">
        <f>+INDEX('[1]citysect2020'!$B$3:$R$2261,($A$57*15)-6,12)</f>
        <v>0</v>
      </c>
      <c r="J32" s="284">
        <f>+INDEX('[1]citysect2020'!$B$3:$R$2261,($A$57*15)-6,13)</f>
        <v>274915</v>
      </c>
      <c r="K32" s="284">
        <f>+INDEX('[1]citysect2020'!$B$3:$R$2261,($A$57*15)-6,14)</f>
        <v>66805</v>
      </c>
      <c r="L32" s="284">
        <f>+INDEX('[1]citysect2020'!$B$3:$R$2261,($A$57*15)-6,15)</f>
        <v>17870</v>
      </c>
      <c r="M32" s="284">
        <f>+INDEX('[1]citysect2020'!$B$3:$R$2261,($A$57*15)-6,16)</f>
        <v>0</v>
      </c>
      <c r="N32" s="284">
        <f>+INDEX('[1]citysect2020'!$B$3:$R$2261,($A$57*15)-6,17)</f>
        <v>102980072</v>
      </c>
      <c r="O32" s="26"/>
    </row>
    <row r="33" spans="1:14" ht="12.75">
      <c r="A33" s="285">
        <f>IF(A32&gt;0,A32/$A$4," ")</f>
        <v>0.22959339651482727</v>
      </c>
      <c r="B33" s="286" t="s">
        <v>100</v>
      </c>
      <c r="C33" s="285">
        <f>+IF(C32&gt;0,(C32/$C$4),"  ")</f>
        <v>0.10752181261517191</v>
      </c>
      <c r="D33" s="285">
        <f>+IF(D32&gt;0,(D32/$D$4),"  ")</f>
        <v>0.055734085325449226</v>
      </c>
      <c r="E33" s="285">
        <f>+IF(E32&gt;0,(E32/$E$4),"  ")</f>
        <v>0.01701674118978747</v>
      </c>
      <c r="F33" s="285">
        <f>+IF(F32&gt;0,(F32/$F$4),"  ")</f>
        <v>0.2839147900774294</v>
      </c>
      <c r="G33" s="285">
        <f>+IF(G32&gt;0,(G32/$G$4),"  ")</f>
        <v>0.34228194264781797</v>
      </c>
      <c r="H33" s="285" t="str">
        <f>+IF(H32&gt;0,(H32/$H$4),"  ")</f>
        <v>  </v>
      </c>
      <c r="I33" s="285" t="str">
        <f>+IF(I32&gt;0,(I32/$I$4),"  ")</f>
        <v>  </v>
      </c>
      <c r="J33" s="285">
        <f>+IF(J32&gt;0,(J32/$J$4),"  ")</f>
        <v>0.0001887545981705617</v>
      </c>
      <c r="K33" s="285">
        <f>+IF(K32&gt;0,(K32/$J$4),"  ")</f>
        <v>4.586781707358411E-05</v>
      </c>
      <c r="L33" s="285">
        <f>+IF(L32&gt;0,(L32/$J$4),"  ")</f>
        <v>1.2269409342189179E-05</v>
      </c>
      <c r="M33" s="285" t="str">
        <f>+IF(M32&gt;0,(M32/$J$4),"  ")</f>
        <v>  </v>
      </c>
      <c r="N33" s="285">
        <f>+IF(N32&gt;0,(N32/$J$4),"  ")</f>
        <v>0.07070535296340874</v>
      </c>
    </row>
    <row r="34" spans="1:14" ht="12.75">
      <c r="A34" s="289"/>
      <c r="B34" s="286" t="s">
        <v>101</v>
      </c>
      <c r="C34" s="285">
        <f aca="true" t="shared" si="11" ref="C34:N34">IF(C32&gt;0,(C32/$N32),"  ")</f>
        <v>0.07994221445096679</v>
      </c>
      <c r="D34" s="285">
        <f t="shared" si="11"/>
        <v>0.014884646808170808</v>
      </c>
      <c r="E34" s="285">
        <f t="shared" si="11"/>
        <v>0.014896085914564131</v>
      </c>
      <c r="F34" s="285">
        <f t="shared" si="11"/>
        <v>0.661791147320231</v>
      </c>
      <c r="G34" s="285">
        <f t="shared" si="11"/>
        <v>0.2249940648711141</v>
      </c>
      <c r="H34" s="285" t="str">
        <f t="shared" si="11"/>
        <v>  </v>
      </c>
      <c r="I34" s="285" t="str">
        <f t="shared" si="11"/>
        <v>  </v>
      </c>
      <c r="J34" s="285">
        <f t="shared" si="11"/>
        <v>0.002669594171579138</v>
      </c>
      <c r="K34" s="285">
        <f t="shared" si="11"/>
        <v>0.000648717744147625</v>
      </c>
      <c r="L34" s="285">
        <f t="shared" si="11"/>
        <v>0.00017352871922637615</v>
      </c>
      <c r="M34" s="285" t="str">
        <f t="shared" si="11"/>
        <v>  </v>
      </c>
      <c r="N34" s="285">
        <f t="shared" si="11"/>
        <v>1</v>
      </c>
    </row>
    <row r="35" spans="1:15" ht="12.75">
      <c r="A35" s="290">
        <f>+INDEX('[1]citysect2020'!$B$3:$R$2261,($A$57*15)-5,4)</f>
        <v>205</v>
      </c>
      <c r="B35" s="284" t="str">
        <f>+INDEX('[1]citysect2020'!$B$3:$R$2261,($A$57*15)-5,5)</f>
        <v>TRUMBULL</v>
      </c>
      <c r="C35" s="284">
        <f>+INDEX('[1]citysect2020'!$B$3:$R$2261,($A$57*15)-5,6)</f>
        <v>330632</v>
      </c>
      <c r="D35" s="284">
        <f>+INDEX('[1]citysect2020'!$B$3:$R$2261,($A$57*15)-5,7)</f>
        <v>352605</v>
      </c>
      <c r="E35" s="284">
        <f>+INDEX('[1]citysect2020'!$B$3:$R$2261,($A$57*15)-5,8)</f>
        <v>627116</v>
      </c>
      <c r="F35" s="284">
        <f>+INDEX('[1]citysect2020'!$B$3:$R$2261,($A$57*15)-5,9)</f>
        <v>8794605</v>
      </c>
      <c r="G35" s="284">
        <f>+INDEX('[1]citysect2020'!$B$3:$R$2261,($A$57*15)-5,10)</f>
        <v>3645225</v>
      </c>
      <c r="H35" s="284">
        <f>+INDEX('[1]citysect2020'!$B$3:$R$2261,($A$57*15)-5,11)</f>
        <v>0</v>
      </c>
      <c r="I35" s="284">
        <f>+INDEX('[1]citysect2020'!$B$3:$R$2261,($A$57*15)-5,12)</f>
        <v>0</v>
      </c>
      <c r="J35" s="284">
        <f>+INDEX('[1]citysect2020'!$B$3:$R$2261,($A$57*15)-5,13)</f>
        <v>537015</v>
      </c>
      <c r="K35" s="284">
        <f>+INDEX('[1]citysect2020'!$B$3:$R$2261,($A$57*15)-5,14)</f>
        <v>0</v>
      </c>
      <c r="L35" s="284">
        <f>+INDEX('[1]citysect2020'!$B$3:$R$2261,($A$57*15)-5,15)</f>
        <v>102245</v>
      </c>
      <c r="M35" s="284">
        <f>+INDEX('[1]citysect2020'!$B$3:$R$2261,($A$57*15)-5,16)</f>
        <v>0</v>
      </c>
      <c r="N35" s="284">
        <f>+INDEX('[1]citysect2020'!$B$3:$R$2261,($A$57*15)-5,17)</f>
        <v>14389443</v>
      </c>
      <c r="O35" s="26"/>
    </row>
    <row r="36" spans="1:14" ht="12.75">
      <c r="A36" s="285">
        <f>IF(A35&gt;0,A35/$A$4," ")</f>
        <v>0.03133598287985326</v>
      </c>
      <c r="B36" s="286" t="s">
        <v>100</v>
      </c>
      <c r="C36" s="285">
        <f>+IF(C35&gt;0,(C35/$C$4),"  ")</f>
        <v>0.004318292896660779</v>
      </c>
      <c r="D36" s="285">
        <f>+IF(D35&gt;0,(D35/$D$4),"  ")</f>
        <v>0.012820873627975083</v>
      </c>
      <c r="E36" s="285">
        <f>+IF(E35&gt;0,(E35/$E$4),"  ")</f>
        <v>0.006956630161652385</v>
      </c>
      <c r="F36" s="285">
        <f>+IF(F35&gt;0,(F35/$F$4),"  ")</f>
        <v>0.03663786945207078</v>
      </c>
      <c r="G36" s="285">
        <f>+IF(G35&gt;0,(G35/$G$4),"  ")</f>
        <v>0.053849797588224564</v>
      </c>
      <c r="H36" s="285" t="str">
        <f>+IF(H35&gt;0,(H35/$H$4),"  ")</f>
        <v>  </v>
      </c>
      <c r="I36" s="285" t="str">
        <f>+IF(I35&gt;0,(I35/$I$4),"  ")</f>
        <v>  </v>
      </c>
      <c r="J36" s="285">
        <f>+IF(J35&gt;0,(J35/$J$4),"  ")</f>
        <v>0.00036871051247317974</v>
      </c>
      <c r="K36" s="285" t="str">
        <f>+IF(K35&gt;0,(K35/$K$4),"  ")</f>
        <v>  </v>
      </c>
      <c r="L36" s="285">
        <f>+IF(L35&gt;0,(L35/$L$4),"  ")</f>
        <v>0.0019906684193193255</v>
      </c>
      <c r="M36" s="285" t="str">
        <f>+IF(M35&gt;0,(M35/$M$4),"  ")</f>
        <v>  </v>
      </c>
      <c r="N36" s="285">
        <f>+IF(N35&gt;0,(N35/$N$4),"  ")</f>
        <v>0.0069519602507335096</v>
      </c>
    </row>
    <row r="37" spans="1:14" ht="12.75">
      <c r="A37" s="289"/>
      <c r="B37" s="286" t="s">
        <v>101</v>
      </c>
      <c r="C37" s="285">
        <f>IF(C35&gt;0,(C35/$N35),"  ")</f>
        <v>0.022977400862562922</v>
      </c>
      <c r="D37" s="285">
        <f aca="true" t="shared" si="12" ref="D37:N37">IF(D35&gt;0,(D35/$N35),"  ")</f>
        <v>0.02450442313854678</v>
      </c>
      <c r="E37" s="285">
        <f t="shared" si="12"/>
        <v>0.043581673036266935</v>
      </c>
      <c r="F37" s="285">
        <f t="shared" si="12"/>
        <v>0.6111845329940846</v>
      </c>
      <c r="G37" s="285">
        <f t="shared" si="12"/>
        <v>0.2533263448765877</v>
      </c>
      <c r="H37" s="285" t="str">
        <f t="shared" si="12"/>
        <v>  </v>
      </c>
      <c r="I37" s="285" t="str">
        <f t="shared" si="12"/>
        <v>  </v>
      </c>
      <c r="J37" s="285">
        <f t="shared" si="12"/>
        <v>0.03732006860863204</v>
      </c>
      <c r="K37" s="285" t="str">
        <f t="shared" si="12"/>
        <v>  </v>
      </c>
      <c r="L37" s="285">
        <f t="shared" si="12"/>
        <v>0.007105556483319056</v>
      </c>
      <c r="M37" s="285" t="str">
        <f t="shared" si="12"/>
        <v>  </v>
      </c>
      <c r="N37" s="285">
        <f t="shared" si="12"/>
        <v>1</v>
      </c>
    </row>
    <row r="38" spans="1:15" ht="12.75">
      <c r="A38" s="290">
        <f>+INDEX('[1]citysect2020'!$B$3:$R$2261,($A$57*15)-4,4)</f>
        <v>0</v>
      </c>
      <c r="B38" s="284">
        <f>+INDEX('[1]citysect2020'!$B$3:$R$2261,($A$57*15)-4,5)</f>
        <v>0</v>
      </c>
      <c r="C38" s="284">
        <f>+INDEX('[1]citysect2020'!$B$3:$R$2261,($A$57*15)-4,6)</f>
        <v>0</v>
      </c>
      <c r="D38" s="284">
        <f>+INDEX('[1]citysect2020'!$B$3:$R$2261,($A$57*15)-4,7)</f>
        <v>0</v>
      </c>
      <c r="E38" s="284">
        <f>+INDEX('[1]citysect2020'!$B$3:$R$2261,($A$57*15)-4,8)</f>
        <v>0</v>
      </c>
      <c r="F38" s="284">
        <f>+INDEX('[1]citysect2020'!$B$3:$R$2261,($A$57*15)-4,9)</f>
        <v>0</v>
      </c>
      <c r="G38" s="284">
        <f>+INDEX('[1]citysect2020'!$B$3:$R$2261,($A$57*15)-4,10)</f>
        <v>0</v>
      </c>
      <c r="H38" s="284">
        <f>+INDEX('[1]citysect2020'!$B$3:$R$2261,($A$57*15)-4,11)</f>
        <v>0</v>
      </c>
      <c r="I38" s="284">
        <f>+INDEX('[1]citysect2020'!$B$3:$R$2261,($A$57*15)-4,12)</f>
        <v>0</v>
      </c>
      <c r="J38" s="284">
        <f>+INDEX('[1]citysect2020'!$B$3:$R$2261,($A$57*15)-4,13)</f>
        <v>0</v>
      </c>
      <c r="K38" s="284">
        <f>+INDEX('[1]citysect2020'!$B$3:$R$2261,($A$57*15)-4,14)</f>
        <v>0</v>
      </c>
      <c r="L38" s="284">
        <f>+INDEX('[1]citysect2020'!$B$3:$R$2261,($A$57*15)-4,15)</f>
        <v>0</v>
      </c>
      <c r="M38" s="284">
        <f>+INDEX('[1]citysect2020'!$B$3:$R$2261,($A$57*15)-4,16)</f>
        <v>0</v>
      </c>
      <c r="N38" s="284">
        <f>+INDEX('[1]citysect2020'!$B$3:$R$2261,($A$57*15)-4,17)</f>
        <v>0</v>
      </c>
      <c r="O38" s="26"/>
    </row>
    <row r="39" spans="1:14" ht="12.75">
      <c r="A39" s="285" t="str">
        <f>IF(A38&gt;0,A38/$A$4," ")</f>
        <v> </v>
      </c>
      <c r="B39" s="286" t="s">
        <v>100</v>
      </c>
      <c r="C39" s="285" t="str">
        <f>+IF(C38&gt;0,(C38/$C$4),"  ")</f>
        <v>  </v>
      </c>
      <c r="D39" s="285" t="str">
        <f>+IF(D38&gt;0,(D38/$D$4),"  ")</f>
        <v>  </v>
      </c>
      <c r="E39" s="285" t="str">
        <f>+IF(E38&gt;0,(E38/$E$4),"  ")</f>
        <v>  </v>
      </c>
      <c r="F39" s="285" t="str">
        <f>+IF(F38&gt;0,(F38/$F$4),"  ")</f>
        <v>  </v>
      </c>
      <c r="G39" s="285" t="str">
        <f>+IF(G38&gt;0,(G38/$G$4),"  ")</f>
        <v>  </v>
      </c>
      <c r="H39" s="285" t="str">
        <f>+IF(H38&gt;0,(H38/$H$4),"  ")</f>
        <v>  </v>
      </c>
      <c r="I39" s="285" t="str">
        <f>+IF(I38&gt;0,(I38/$I$4),"  ")</f>
        <v>  </v>
      </c>
      <c r="J39" s="285" t="str">
        <f>+IF(J38&gt;0,(J38/$J$4),"  ")</f>
        <v>  </v>
      </c>
      <c r="K39" s="285" t="str">
        <f>+IF(K38&gt;0,(K38/$K$4),"  ")</f>
        <v>  </v>
      </c>
      <c r="L39" s="285" t="str">
        <f>+IF(L38&gt;0,(L38/$L$4),"  ")</f>
        <v>  </v>
      </c>
      <c r="M39" s="285" t="str">
        <f>+IF(M38&gt;0,(M38/$M$4),"  ")</f>
        <v>  </v>
      </c>
      <c r="N39" s="285" t="str">
        <f>+IF(N38&gt;0,(N38/$N$4),"  ")</f>
        <v>  </v>
      </c>
    </row>
    <row r="40" spans="1:14" ht="12.75">
      <c r="A40" s="289"/>
      <c r="B40" s="286" t="s">
        <v>101</v>
      </c>
      <c r="C40" s="285" t="str">
        <f>IF(C38&gt;0,(C38/$N38),"  ")</f>
        <v>  </v>
      </c>
      <c r="D40" s="285" t="str">
        <f aca="true" t="shared" si="13" ref="D40:N40">IF(D38&gt;0,(D38/$N38),"  ")</f>
        <v>  </v>
      </c>
      <c r="E40" s="285" t="str">
        <f t="shared" si="13"/>
        <v>  </v>
      </c>
      <c r="F40" s="285" t="str">
        <f t="shared" si="13"/>
        <v>  </v>
      </c>
      <c r="G40" s="285" t="str">
        <f t="shared" si="13"/>
        <v>  </v>
      </c>
      <c r="H40" s="285" t="str">
        <f t="shared" si="13"/>
        <v>  </v>
      </c>
      <c r="I40" s="285" t="str">
        <f t="shared" si="13"/>
        <v>  </v>
      </c>
      <c r="J40" s="285" t="str">
        <f t="shared" si="13"/>
        <v>  </v>
      </c>
      <c r="K40" s="285" t="str">
        <f t="shared" si="13"/>
        <v>  </v>
      </c>
      <c r="L40" s="285" t="str">
        <f t="shared" si="13"/>
        <v>  </v>
      </c>
      <c r="M40" s="285" t="str">
        <f t="shared" si="13"/>
        <v>  </v>
      </c>
      <c r="N40" s="285" t="str">
        <f t="shared" si="13"/>
        <v>  </v>
      </c>
    </row>
    <row r="41" spans="1:15" ht="12.75">
      <c r="A41" s="290">
        <f>+INDEX('[1]citysect2020'!$B$3:$R$2261,($A$57*15)-3,4)</f>
        <v>0</v>
      </c>
      <c r="B41" s="284">
        <f>+INDEX('[1]citysect2020'!$B$3:$R$2261,($A$57*15)-3,5)</f>
        <v>0</v>
      </c>
      <c r="C41" s="284">
        <f>+INDEX('[1]citysect2020'!$B$3:$R$2261,($A$57*15)-3,6)</f>
        <v>0</v>
      </c>
      <c r="D41" s="284">
        <f>+INDEX('[1]citysect2020'!$B$3:$R$2261,($A$57*15)-3,7)</f>
        <v>0</v>
      </c>
      <c r="E41" s="284">
        <f>+INDEX('[1]citysect2020'!$B$3:$R$2261,($A$57*15)-3,8)</f>
        <v>0</v>
      </c>
      <c r="F41" s="284">
        <f>+INDEX('[1]citysect2020'!$B$3:$R$2261,($A$57*15)-3,9)</f>
        <v>0</v>
      </c>
      <c r="G41" s="284">
        <f>+INDEX('[1]citysect2020'!$B$3:$R$2261,($A$57*15)-3,10)</f>
        <v>0</v>
      </c>
      <c r="H41" s="284">
        <f>+INDEX('[1]citysect2020'!$B$3:$R$2261,($A$57*15)-3,11)</f>
        <v>0</v>
      </c>
      <c r="I41" s="284">
        <f>+INDEX('[1]citysect2020'!$B$3:$R$2261,($A$57*15)-3,12)</f>
        <v>0</v>
      </c>
      <c r="J41" s="284">
        <f>+INDEX('[1]citysect2020'!$B$3:$R$2261,($A$57*15)-3,13)</f>
        <v>0</v>
      </c>
      <c r="K41" s="284">
        <f>+INDEX('[1]citysect2020'!$B$3:$R$2261,($A$57*15)-3,14)</f>
        <v>0</v>
      </c>
      <c r="L41" s="284">
        <f>+INDEX('[1]citysect2020'!$B$3:$R$2261,($A$57*15)-3,15)</f>
        <v>0</v>
      </c>
      <c r="M41" s="284">
        <f>+INDEX('[1]citysect2020'!$B$3:$R$2261,($A$57*15)-3,16)</f>
        <v>0</v>
      </c>
      <c r="N41" s="284">
        <f>+INDEX('[1]citysect2020'!$B$3:$R$2261,($A$57*15)-3,17)</f>
        <v>0</v>
      </c>
      <c r="O41" s="26"/>
    </row>
    <row r="42" spans="1:14" ht="12.75">
      <c r="A42" s="285" t="str">
        <f>IF(A41&gt;0,A41/$A$4," ")</f>
        <v> </v>
      </c>
      <c r="B42" s="286" t="s">
        <v>100</v>
      </c>
      <c r="C42" s="285" t="str">
        <f>+IF(C41&gt;0,(C41/$C$4),"  ")</f>
        <v>  </v>
      </c>
      <c r="D42" s="285" t="str">
        <f>+IF(D41&gt;0,(D41/$D$4),"  ")</f>
        <v>  </v>
      </c>
      <c r="E42" s="285" t="str">
        <f>+IF(E41&gt;0,(E41/$E$4),"  ")</f>
        <v>  </v>
      </c>
      <c r="F42" s="285" t="str">
        <f>+IF(F41&gt;0,(F41/$F$4),"  ")</f>
        <v>  </v>
      </c>
      <c r="G42" s="285" t="str">
        <f>+IF(G41&gt;0,(G41/$G$4),"  ")</f>
        <v>  </v>
      </c>
      <c r="H42" s="285" t="str">
        <f>+IF(H41&gt;0,(H41/$H$4),"  ")</f>
        <v>  </v>
      </c>
      <c r="I42" s="285" t="str">
        <f>+IF(I41&gt;0,(I41/$I$4),"  ")</f>
        <v>  </v>
      </c>
      <c r="J42" s="285" t="str">
        <f>+IF(J41&gt;0,(J41/$J$4),"  ")</f>
        <v>  </v>
      </c>
      <c r="K42" s="285" t="str">
        <f>+IF(K41&gt;0,(K41/$K$4),"  ")</f>
        <v>  </v>
      </c>
      <c r="L42" s="285" t="str">
        <f>+IF(L41&gt;0,(L41/$L$4),"  ")</f>
        <v>  </v>
      </c>
      <c r="M42" s="285" t="str">
        <f>+IF(M41&gt;0,(M41/$M$4),"  ")</f>
        <v>  </v>
      </c>
      <c r="N42" s="285" t="str">
        <f>+IF(N41&gt;0,(N41/$N$4),"  ")</f>
        <v>  </v>
      </c>
    </row>
    <row r="43" spans="1:14" ht="12.75">
      <c r="A43" s="289"/>
      <c r="B43" s="286" t="s">
        <v>101</v>
      </c>
      <c r="C43" s="285" t="str">
        <f>IF(C41&gt;0,(C41/$N41),"  ")</f>
        <v>  </v>
      </c>
      <c r="D43" s="285" t="str">
        <f aca="true" t="shared" si="14" ref="D43:N43">IF(D41&gt;0,(D41/$N41),"  ")</f>
        <v>  </v>
      </c>
      <c r="E43" s="285" t="str">
        <f t="shared" si="14"/>
        <v>  </v>
      </c>
      <c r="F43" s="285" t="str">
        <f t="shared" si="14"/>
        <v>  </v>
      </c>
      <c r="G43" s="285" t="str">
        <f t="shared" si="14"/>
        <v>  </v>
      </c>
      <c r="H43" s="285" t="str">
        <f t="shared" si="14"/>
        <v>  </v>
      </c>
      <c r="I43" s="285" t="str">
        <f t="shared" si="14"/>
        <v>  </v>
      </c>
      <c r="J43" s="285" t="str">
        <f t="shared" si="14"/>
        <v>  </v>
      </c>
      <c r="K43" s="285" t="str">
        <f t="shared" si="14"/>
        <v>  </v>
      </c>
      <c r="L43" s="285" t="str">
        <f t="shared" si="14"/>
        <v>  </v>
      </c>
      <c r="M43" s="285" t="str">
        <f t="shared" si="14"/>
        <v>  </v>
      </c>
      <c r="N43" s="285" t="str">
        <f t="shared" si="14"/>
        <v>  </v>
      </c>
    </row>
    <row r="44" spans="1:15" ht="12.75">
      <c r="A44" s="290">
        <f>+INDEX('[1]citysect2020'!$B$3:$R$2261,($A$57*15)-2,4)</f>
        <v>0</v>
      </c>
      <c r="B44" s="284">
        <f>+INDEX('[1]citysect2020'!$B$3:$R$2261,($A$57*15)-2,5)</f>
        <v>0</v>
      </c>
      <c r="C44" s="284">
        <f>+INDEX('[1]citysect2020'!$B$3:$R$2261,($A$57*15)-2,6)</f>
        <v>0</v>
      </c>
      <c r="D44" s="284">
        <f>+INDEX('[1]citysect2020'!$B$3:$R$2261,($A$57*15)-2,7)</f>
        <v>0</v>
      </c>
      <c r="E44" s="284">
        <f>+INDEX('[1]citysect2020'!$B$3:$R$2261,($A$57*15)-2,8)</f>
        <v>0</v>
      </c>
      <c r="F44" s="284">
        <f>+INDEX('[1]citysect2020'!$B$3:$R$2261,($A$57*15)-2,9)</f>
        <v>0</v>
      </c>
      <c r="G44" s="284">
        <f>+INDEX('[1]citysect2020'!$B$3:$R$2261,($A$57*15)-2,10)</f>
        <v>0</v>
      </c>
      <c r="H44" s="284">
        <f>+INDEX('[1]citysect2020'!$B$3:$R$2261,($A$57*15)-2,11)</f>
        <v>0</v>
      </c>
      <c r="I44" s="284">
        <f>+INDEX('[1]citysect2020'!$B$3:$R$2261,($A$57*15)-2,12)</f>
        <v>0</v>
      </c>
      <c r="J44" s="284">
        <f>+INDEX('[1]citysect2020'!$B$3:$R$2261,($A$57*15)-2,13)</f>
        <v>0</v>
      </c>
      <c r="K44" s="284">
        <f>+INDEX('[1]citysect2020'!$B$3:$R$2261,($A$57*15)-2,14)</f>
        <v>0</v>
      </c>
      <c r="L44" s="284">
        <f>+INDEX('[1]citysect2020'!$B$3:$R$2261,($A$57*15)-2,15)</f>
        <v>0</v>
      </c>
      <c r="M44" s="284">
        <f>+INDEX('[1]citysect2020'!$B$3:$R$2261,($A$57*15)-2,16)</f>
        <v>0</v>
      </c>
      <c r="N44" s="284">
        <f>+INDEX('[1]citysect2020'!$B$3:$R$2261,($A$57*15)-2,17)</f>
        <v>0</v>
      </c>
      <c r="O44" s="26"/>
    </row>
    <row r="45" spans="1:14" ht="12.75">
      <c r="A45" s="285" t="str">
        <f>IF(A44&gt;0,A44/$A$4," ")</f>
        <v> </v>
      </c>
      <c r="B45" s="286" t="s">
        <v>100</v>
      </c>
      <c r="C45" s="285" t="str">
        <f>+IF(C44&gt;0,(C44/$C$4),"  ")</f>
        <v>  </v>
      </c>
      <c r="D45" s="285" t="str">
        <f>+IF(D44&gt;0,(D44/$D$4),"  ")</f>
        <v>  </v>
      </c>
      <c r="E45" s="285" t="str">
        <f>+IF(E44&gt;0,(E44/$E$4),"  ")</f>
        <v>  </v>
      </c>
      <c r="F45" s="285" t="str">
        <f>+IF(F44&gt;0,(F44/$F$4),"  ")</f>
        <v>  </v>
      </c>
      <c r="G45" s="285" t="str">
        <f>+IF(G44&gt;0,(G44/$G$4),"  ")</f>
        <v>  </v>
      </c>
      <c r="H45" s="285" t="str">
        <f>+IF(H44&gt;0,(H44/$H$4),"  ")</f>
        <v>  </v>
      </c>
      <c r="I45" s="285" t="str">
        <f>+IF(I44&gt;0,(I44/$I$4),"  ")</f>
        <v>  </v>
      </c>
      <c r="J45" s="285" t="str">
        <f>+IF(J44&gt;0,(J44/$J$4),"  ")</f>
        <v>  </v>
      </c>
      <c r="K45" s="285" t="str">
        <f>+IF(K44&gt;0,(K44/$K$4),"  ")</f>
        <v>  </v>
      </c>
      <c r="L45" s="285" t="str">
        <f>+IF(L44&gt;0,(L44/$L$4),"  ")</f>
        <v>  </v>
      </c>
      <c r="M45" s="285" t="str">
        <f>+IF(M44&gt;0,(M44/$M$4),"  ")</f>
        <v>  </v>
      </c>
      <c r="N45" s="285" t="str">
        <f>+IF(N44&gt;0,(N44/$N$4),"  ")</f>
        <v>  </v>
      </c>
    </row>
    <row r="46" spans="1:15" ht="12.75">
      <c r="A46" s="289"/>
      <c r="B46" s="286" t="s">
        <v>101</v>
      </c>
      <c r="C46" s="285" t="str">
        <f>IF(C44&gt;0,(C44/$N44),"  ")</f>
        <v>  </v>
      </c>
      <c r="D46" s="285" t="str">
        <f aca="true" t="shared" si="15" ref="D46:N46">IF(D44&gt;0,(D44/$N44),"  ")</f>
        <v>  </v>
      </c>
      <c r="E46" s="285" t="str">
        <f t="shared" si="15"/>
        <v>  </v>
      </c>
      <c r="F46" s="285" t="str">
        <f t="shared" si="15"/>
        <v>  </v>
      </c>
      <c r="G46" s="285" t="str">
        <f t="shared" si="15"/>
        <v>  </v>
      </c>
      <c r="H46" s="285" t="str">
        <f t="shared" si="15"/>
        <v>  </v>
      </c>
      <c r="I46" s="285" t="str">
        <f t="shared" si="15"/>
        <v>  </v>
      </c>
      <c r="J46" s="285" t="str">
        <f t="shared" si="15"/>
        <v>  </v>
      </c>
      <c r="K46" s="285" t="str">
        <f t="shared" si="15"/>
        <v>  </v>
      </c>
      <c r="L46" s="285" t="str">
        <f t="shared" si="15"/>
        <v>  </v>
      </c>
      <c r="M46" s="285" t="str">
        <f t="shared" si="15"/>
        <v>  </v>
      </c>
      <c r="N46" s="285" t="str">
        <f t="shared" si="15"/>
        <v>  </v>
      </c>
      <c r="O46" s="26"/>
    </row>
    <row r="47" spans="1:15" ht="12.75">
      <c r="A47" s="290">
        <f>+INDEX('[1]citysect2020'!$B$3:$R$2261,($A$57*15)-1,4)</f>
        <v>0</v>
      </c>
      <c r="B47" s="284">
        <f>+INDEX('[1]citysect2020'!$B$3:$R$2261,($A$57*15)-1,5)</f>
        <v>0</v>
      </c>
      <c r="C47" s="284">
        <f>+INDEX('[1]citysect2020'!$B$3:$R$2261,($A$57*15)-1,6)</f>
        <v>0</v>
      </c>
      <c r="D47" s="284">
        <f>+INDEX('[1]citysect2020'!$B$3:$R$2261,($A$57*15)-1,7)</f>
        <v>0</v>
      </c>
      <c r="E47" s="297">
        <f>+INDEX('[1]citysect2020'!$B$3:$R$2261,($A$57*15)-1,8)</f>
        <v>0</v>
      </c>
      <c r="F47" s="284">
        <f>+INDEX('[1]citysect2020'!$B$3:$R$2261,($A$57*15)-1,9)</f>
        <v>0</v>
      </c>
      <c r="G47" s="284">
        <f>+INDEX('[1]citysect2020'!$B$3:$R$2261,($A$57*15)-1,10)</f>
        <v>0</v>
      </c>
      <c r="H47" s="284">
        <f>+INDEX('[1]citysect2020'!$B$3:$R$2261,($A$57*15)-1,11)</f>
        <v>0</v>
      </c>
      <c r="I47" s="297">
        <f>+INDEX('[1]citysect2020'!$B$3:$R$2261,($A$57*15)-1,12)</f>
        <v>0</v>
      </c>
      <c r="J47" s="284">
        <f>+INDEX('[1]citysect2020'!$B$3:$R$2261,($A$57*15)-1,13)</f>
        <v>0</v>
      </c>
      <c r="K47" s="284">
        <f>+INDEX('[1]citysect2020'!$B$3:$R$2261,($A$57*15)-1,14)</f>
        <v>0</v>
      </c>
      <c r="L47" s="284">
        <f>+INDEX('[1]citysect2020'!$B$3:$R$2261,($A$57*15)-1,15)</f>
        <v>0</v>
      </c>
      <c r="M47" s="297">
        <f>+INDEX('[1]citysect2020'!$B$3:$R$2261,($A$57*15)-1,16)</f>
        <v>0</v>
      </c>
      <c r="N47" s="284">
        <f>+INDEX('[1]citysect2020'!$B$3:$R$2261,($A$57*15)-1,17)</f>
        <v>0</v>
      </c>
      <c r="O47" s="26"/>
    </row>
    <row r="48" spans="1:14" ht="12.75">
      <c r="A48" s="285" t="str">
        <f>IF(A47&gt;0,A47/$A$4," ")</f>
        <v> </v>
      </c>
      <c r="B48" s="286" t="s">
        <v>100</v>
      </c>
      <c r="C48" s="285" t="str">
        <f>+IF(C47&gt;0,(C47/$C$4),"  ")</f>
        <v>  </v>
      </c>
      <c r="D48" s="285" t="str">
        <f>+IF(D47&gt;0,(D47/$D$4),"  ")</f>
        <v>  </v>
      </c>
      <c r="E48" s="285" t="str">
        <f>+IF(E47&gt;0,(E47/$E$4),"  ")</f>
        <v>  </v>
      </c>
      <c r="F48" s="285" t="str">
        <f>+IF(F47&gt;0,(F47/$F$4),"  ")</f>
        <v>  </v>
      </c>
      <c r="G48" s="285" t="str">
        <f>+IF(G47&gt;0,(G47/$G$4),"  ")</f>
        <v>  </v>
      </c>
      <c r="H48" s="285" t="str">
        <f>+IF(H47&gt;0,(H47/$H$4),"  ")</f>
        <v>  </v>
      </c>
      <c r="I48" s="285" t="str">
        <f>+IF(I47&gt;0,(I47/$I$4),"  ")</f>
        <v>  </v>
      </c>
      <c r="J48" s="285" t="str">
        <f>+IF(J47&gt;0,(J47/$J$4),"  ")</f>
        <v>  </v>
      </c>
      <c r="K48" s="285" t="str">
        <f>+IF(K47&gt;0,(K47/$K$4),"  ")</f>
        <v>  </v>
      </c>
      <c r="L48" s="285" t="str">
        <f>+IF(L47&gt;0,(L47/$L$4),"  ")</f>
        <v>  </v>
      </c>
      <c r="M48" s="285" t="str">
        <f>+IF(M47&gt;0,(M47/$M$4),"  ")</f>
        <v>  </v>
      </c>
      <c r="N48" s="285" t="str">
        <f>+IF(N47&gt;0,(N47/$N$4),"  ")</f>
        <v>  </v>
      </c>
    </row>
    <row r="49" spans="1:14" ht="12.75">
      <c r="A49" s="289"/>
      <c r="B49" s="286" t="s">
        <v>101</v>
      </c>
      <c r="C49" s="285" t="str">
        <f>IF(C47&gt;0,(C47/$N47),"  ")</f>
        <v>  </v>
      </c>
      <c r="D49" s="285" t="str">
        <f aca="true" t="shared" si="16" ref="D49:N49">IF(D47&gt;0,(D47/$N47),"  ")</f>
        <v>  </v>
      </c>
      <c r="E49" s="285" t="str">
        <f t="shared" si="16"/>
        <v>  </v>
      </c>
      <c r="F49" s="285" t="str">
        <f t="shared" si="16"/>
        <v>  </v>
      </c>
      <c r="G49" s="285" t="str">
        <f t="shared" si="16"/>
        <v>  </v>
      </c>
      <c r="H49" s="285" t="str">
        <f t="shared" si="16"/>
        <v>  </v>
      </c>
      <c r="I49" s="285" t="str">
        <f t="shared" si="16"/>
        <v>  </v>
      </c>
      <c r="J49" s="285" t="str">
        <f t="shared" si="16"/>
        <v>  </v>
      </c>
      <c r="K49" s="285" t="str">
        <f t="shared" si="16"/>
        <v>  </v>
      </c>
      <c r="L49" s="285" t="str">
        <f t="shared" si="16"/>
        <v>  </v>
      </c>
      <c r="M49" s="285" t="str">
        <f t="shared" si="16"/>
        <v>  </v>
      </c>
      <c r="N49" s="285" t="str">
        <f t="shared" si="16"/>
        <v>  </v>
      </c>
    </row>
    <row r="50" spans="1:15" ht="12.75">
      <c r="A50" s="290">
        <f>+INDEX('[1]citysect2020'!$B$3:$R$2261,($A$57*15),4)</f>
        <v>0</v>
      </c>
      <c r="B50" s="284">
        <f>+INDEX('[1]citysect2020'!$B$3:$R$2261,($A$57*15),5)</f>
        <v>0</v>
      </c>
      <c r="C50" s="284">
        <f>+INDEX('[1]citysect2020'!$B$3:$R$2261,($A$57*15),6)</f>
        <v>0</v>
      </c>
      <c r="D50" s="284">
        <f>+INDEX('[1]citysect2020'!$B$3:$R$2261,($A$57*15),7)</f>
        <v>0</v>
      </c>
      <c r="E50" s="284">
        <f>+INDEX('[1]citysect2020'!$B$3:$R$2261,($A$57*15),8)</f>
        <v>0</v>
      </c>
      <c r="F50" s="284">
        <f>+INDEX('[1]citysect2020'!$B$3:$R$2261,($A$57*15),9)</f>
        <v>0</v>
      </c>
      <c r="G50" s="284">
        <f>+INDEX('[1]citysect2020'!$B$3:$R$2261,($A$57*15),10)</f>
        <v>0</v>
      </c>
      <c r="H50" s="284">
        <f>+INDEX('[1]citysect2020'!$B$3:$R$2261,($A$57*15),11)</f>
        <v>0</v>
      </c>
      <c r="I50" s="284">
        <f>+INDEX('[1]citysect2020'!$B$3:$R$2261,($A$57*15),12)</f>
        <v>0</v>
      </c>
      <c r="J50" s="284">
        <f>+INDEX('[1]citysect2020'!$B$3:$R$2261,($A$57*15),13)</f>
        <v>0</v>
      </c>
      <c r="K50" s="284">
        <f>+INDEX('[1]citysect2020'!$B$3:$R$2261,($A$57*15),14)</f>
        <v>0</v>
      </c>
      <c r="L50" s="284">
        <f>+INDEX('[1]citysect2020'!$B$3:$R$2261,($A$57*15),15)</f>
        <v>0</v>
      </c>
      <c r="M50" s="284">
        <f>+INDEX('[1]citysect2020'!$B$3:$R$2261,($A$57*15),16)</f>
        <v>0</v>
      </c>
      <c r="N50" s="284">
        <f>+INDEX('[1]citysect2020'!$B$3:$R$2261,($A$57*15),17)</f>
        <v>0</v>
      </c>
      <c r="O50" s="26"/>
    </row>
    <row r="51" spans="1:14" ht="12.75">
      <c r="A51" s="285" t="str">
        <f>IF(A50&gt;0,A50/$A$4," ")</f>
        <v> </v>
      </c>
      <c r="B51" s="286" t="s">
        <v>100</v>
      </c>
      <c r="C51" s="285" t="str">
        <f>+IF(C50&gt;0,(C50/$C$4),"  ")</f>
        <v>  </v>
      </c>
      <c r="D51" s="285" t="str">
        <f>+IF(D50&gt;0,(D50/$D$4),"  ")</f>
        <v>  </v>
      </c>
      <c r="E51" s="285" t="str">
        <f>+IF(E50&gt;0,(E50/$E$4),"  ")</f>
        <v>  </v>
      </c>
      <c r="F51" s="285" t="str">
        <f>+IF(F50&gt;0,(F50/$F$4),"  ")</f>
        <v>  </v>
      </c>
      <c r="G51" s="285" t="str">
        <f>+IF(G50&gt;0,(G50/$G$4),"  ")</f>
        <v>  </v>
      </c>
      <c r="H51" s="285" t="str">
        <f>+IF(H50&gt;0,(H50/$H$4),"  ")</f>
        <v>  </v>
      </c>
      <c r="I51" s="285" t="str">
        <f>+IF(I50&gt;0,(I50/$I$4),"  ")</f>
        <v>  </v>
      </c>
      <c r="J51" s="285" t="str">
        <f>+IF(J50&gt;0,(J50/$J$4),"  ")</f>
        <v>  </v>
      </c>
      <c r="K51" s="285" t="str">
        <f>+IF(K50&gt;0,(K50/$K$4),"  ")</f>
        <v>  </v>
      </c>
      <c r="L51" s="285" t="str">
        <f>+IF(L50&gt;0,(L50/$L$4),"  ")</f>
        <v>  </v>
      </c>
      <c r="M51" s="285" t="str">
        <f>+IF(M50&gt;0,(M50/$M$4),"  ")</f>
        <v>  </v>
      </c>
      <c r="N51" s="285" t="str">
        <f>+IF(N50&gt;0,(N50/$N$4),"  ")</f>
        <v>  </v>
      </c>
    </row>
    <row r="52" spans="1:14" ht="12.75">
      <c r="A52" s="289"/>
      <c r="B52" s="286" t="s">
        <v>101</v>
      </c>
      <c r="C52" s="285" t="str">
        <f>IF(C50&gt;0,(C50/$N50),"  ")</f>
        <v>  </v>
      </c>
      <c r="D52" s="285" t="str">
        <f aca="true" t="shared" si="17" ref="D52:N52">IF(D50&gt;0,(D50/$N50),"  ")</f>
        <v>  </v>
      </c>
      <c r="E52" s="285" t="str">
        <f t="shared" si="17"/>
        <v>  </v>
      </c>
      <c r="F52" s="285" t="str">
        <f t="shared" si="17"/>
        <v>  </v>
      </c>
      <c r="G52" s="285" t="str">
        <f t="shared" si="17"/>
        <v>  </v>
      </c>
      <c r="H52" s="285" t="str">
        <f t="shared" si="17"/>
        <v>  </v>
      </c>
      <c r="I52" s="285" t="str">
        <f t="shared" si="17"/>
        <v>  </v>
      </c>
      <c r="J52" s="285" t="str">
        <f t="shared" si="17"/>
        <v>  </v>
      </c>
      <c r="K52" s="285" t="str">
        <f t="shared" si="17"/>
        <v>  </v>
      </c>
      <c r="L52" s="285" t="str">
        <f t="shared" si="17"/>
        <v>  </v>
      </c>
      <c r="M52" s="285" t="str">
        <f t="shared" si="17"/>
        <v>  </v>
      </c>
      <c r="N52" s="285" t="str">
        <f t="shared" si="17"/>
        <v>  </v>
      </c>
    </row>
    <row r="53" spans="1:15" ht="12.75">
      <c r="A53" s="284">
        <f>+A8+A11+A14+A17+A20+A23+A26+A29+A32+A35+A38+A41+A44+A47+A50</f>
        <v>4852</v>
      </c>
      <c r="B53" s="291" t="s">
        <v>102</v>
      </c>
      <c r="C53" s="284">
        <f>+C8+C11+C14+C17+C20+C23+C26+C29+C32+C35+C38+C41+C44+C47+C50</f>
        <v>12963854</v>
      </c>
      <c r="D53" s="284">
        <f aca="true" t="shared" si="18" ref="D53:M53">+D8+D11+D14+D17+D20+D23+D26+D29+D32+D35+D38+D41+D44+D47+D50</f>
        <v>6361360</v>
      </c>
      <c r="E53" s="284">
        <f t="shared" si="18"/>
        <v>12786155</v>
      </c>
      <c r="F53" s="284">
        <f t="shared" si="18"/>
        <v>160734120</v>
      </c>
      <c r="G53" s="284">
        <f t="shared" si="18"/>
        <v>49438165</v>
      </c>
      <c r="H53" s="284">
        <f t="shared" si="18"/>
        <v>0</v>
      </c>
      <c r="I53" s="284">
        <f t="shared" si="18"/>
        <v>0</v>
      </c>
      <c r="J53" s="284">
        <f t="shared" si="18"/>
        <v>1803255</v>
      </c>
      <c r="K53" s="284">
        <f t="shared" si="18"/>
        <v>353355</v>
      </c>
      <c r="L53" s="284">
        <f t="shared" si="18"/>
        <v>201945</v>
      </c>
      <c r="M53" s="284">
        <f t="shared" si="18"/>
        <v>0</v>
      </c>
      <c r="N53" s="284">
        <f>+N8+N11+N14+N17+N20+N23+N26+N29+N32+N35+N38+N41+N44+N47+N50</f>
        <v>244642209</v>
      </c>
      <c r="O53" s="26"/>
    </row>
    <row r="54" spans="1:14" ht="12.75">
      <c r="A54" s="279">
        <f>IF(A53&gt;0,+A53/A4,"  ")</f>
        <v>0.7416692143075512</v>
      </c>
      <c r="B54" s="292" t="s">
        <v>103</v>
      </c>
      <c r="C54" s="279">
        <f>IF(C53&gt;0,+C53/C4,"  ")</f>
        <v>0.1693173033509988</v>
      </c>
      <c r="D54" s="279">
        <f aca="true" t="shared" si="19" ref="D54:N54">IF(D53&gt;0,+D53/D4,"  ")</f>
        <v>0.2313018608983298</v>
      </c>
      <c r="E54" s="279">
        <f t="shared" si="19"/>
        <v>0.1418374774755587</v>
      </c>
      <c r="F54" s="279">
        <f t="shared" si="19"/>
        <v>0.6696100285406199</v>
      </c>
      <c r="G54" s="279">
        <f t="shared" si="19"/>
        <v>0.7303349391006723</v>
      </c>
      <c r="H54" s="279" t="str">
        <f t="shared" si="19"/>
        <v>  </v>
      </c>
      <c r="I54" s="279" t="str">
        <f t="shared" si="19"/>
        <v>  </v>
      </c>
      <c r="J54" s="279">
        <f t="shared" si="19"/>
        <v>0.0012381014965500473</v>
      </c>
      <c r="K54" s="279">
        <f t="shared" si="19"/>
        <v>0.008772970843164045</v>
      </c>
      <c r="L54" s="279">
        <f t="shared" si="19"/>
        <v>0.003931786727365066</v>
      </c>
      <c r="M54" s="279" t="str">
        <f t="shared" si="19"/>
        <v>  </v>
      </c>
      <c r="N54" s="279">
        <f t="shared" si="19"/>
        <v>0.11819379753751688</v>
      </c>
    </row>
    <row r="55" ht="2.25" customHeight="1"/>
    <row r="56" spans="1:5" ht="7.5" customHeight="1">
      <c r="A56" s="60"/>
      <c r="B56" s="60"/>
      <c r="E56" s="293"/>
    </row>
    <row r="57" spans="1:14" ht="12.75">
      <c r="A57" s="294">
        <v>18</v>
      </c>
      <c r="B57" s="295" t="str">
        <f>+B4</f>
        <v>CLAY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6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6"/>
      <c r="C62" s="296"/>
      <c r="D62" s="296"/>
      <c r="E62" s="296"/>
      <c r="F62" s="296"/>
      <c r="G62" s="296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2021-03-04T20:40:31Z</dcterms:created>
  <dcterms:modified xsi:type="dcterms:W3CDTF">2021-03-08T04:13:07Z</dcterms:modified>
  <cp:category/>
  <cp:version/>
  <cp:contentType/>
  <cp:contentStatus/>
</cp:coreProperties>
</file>