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M) PAT-Shared\Legal\Delinquent_Lists\2025-February\Delinquent List\"/>
    </mc:Choice>
  </mc:AlternateContent>
  <xr:revisionPtr revIDLastSave="0" documentId="13_ncr:1_{5C3C8A4E-D012-4B96-93BA-11D54BC40014}" xr6:coauthVersionLast="47" xr6:coauthVersionMax="47" xr10:uidLastSave="{00000000-0000-0000-0000-000000000000}"/>
  <bookViews>
    <workbookView xWindow="-28920" yWindow="-120" windowWidth="29040" windowHeight="15840" xr2:uid="{FEE28196-D8B5-4DD2-8AA7-2AF7847E01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6" i="1" l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<sst xmlns="http://schemas.openxmlformats.org/spreadsheetml/2006/main" count="5838" uniqueCount="3170">
  <si>
    <t>VOSLER KATE A</t>
  </si>
  <si>
    <t>113 MEADOW LN GRETNA NE 68028</t>
  </si>
  <si>
    <t>LOT 27 MEADOW TERRACE 2ND ADDITION</t>
  </si>
  <si>
    <t>SEDLACEK BROTHERS INC</t>
  </si>
  <si>
    <t>LOT 277 WEST PLAINS</t>
  </si>
  <si>
    <t>ARFF/ELDEN</t>
  </si>
  <si>
    <t>LOT 4A MEADOW TERRACE</t>
  </si>
  <si>
    <t>B PROPERTIES LLC</t>
  </si>
  <si>
    <t>13514 GRISSOM ST PAPILLION NE 68138</t>
  </si>
  <si>
    <t>LOT 17 BLOCK 2 WESTMONT</t>
  </si>
  <si>
    <t>HORNER/DAMEON M</t>
  </si>
  <si>
    <t>206 S MCKENNA AVE GRETNA NE 68028</t>
  </si>
  <si>
    <t>LOT 18 BLOCK 6 SOUTH GRETNA</t>
  </si>
  <si>
    <t>JENADA TRIO GROUP LLC</t>
  </si>
  <si>
    <t>229 GLENDALE CIR GRETNA NE 68028</t>
  </si>
  <si>
    <t>LOT 75 NORTH PARK</t>
  </si>
  <si>
    <t>THE SALSA WORKS LLC</t>
  </si>
  <si>
    <t>7123 HARRISON ST LA VISTA NE 68128</t>
  </si>
  <si>
    <t>LOT 1B2A LA VISTA REPLAT</t>
  </si>
  <si>
    <t>KEYHAN/SAEED</t>
  </si>
  <si>
    <t>7005 EMILINE ST LA VISTA NE 68128</t>
  </si>
  <si>
    <t>LOT 66 LA VISTA REPLAT</t>
  </si>
  <si>
    <t>WYATT SIMON INVESTMENTS LLC</t>
  </si>
  <si>
    <t>7116 S 71ST AVE LA VISTA NE 68128</t>
  </si>
  <si>
    <t>LOT 14 LA VISTA REPLAT</t>
  </si>
  <si>
    <t>ROBBINS/LAWRENCE &amp; CONNIE</t>
  </si>
  <si>
    <t>7016 EMILINE ST LA VISTA NE 68128</t>
  </si>
  <si>
    <t>LOT 41 LA VISTA REPLAT</t>
  </si>
  <si>
    <t>7014 GERTRUDE ST LA VISTA NE 68128</t>
  </si>
  <si>
    <t>LOT 52 LA VISTA REPLAT</t>
  </si>
  <si>
    <t>CARLSON/SONYA RAE</t>
  </si>
  <si>
    <t>N 100' TAX LOT D1A1 36-14-10 (.17 AC)</t>
  </si>
  <si>
    <t>KNUDSEN/J SCOTT &amp; SANDRA E</t>
  </si>
  <si>
    <t>7306 S 70TH ST LA VISTA NE 68128</t>
  </si>
  <si>
    <t>LOT 214 LA VISTA REPLAT</t>
  </si>
  <si>
    <t>VIZCAYA MUNOZ/MIGUEL</t>
  </si>
  <si>
    <t>14630 JOSEPHINE ST LA VISTA NE 68138</t>
  </si>
  <si>
    <t>LOT 42 ECHO HILLS</t>
  </si>
  <si>
    <t>CONRAD TERESA \&amp; DAVE</t>
  </si>
  <si>
    <t>8261 STEPHANIE LN BELLEVUE NE 68147</t>
  </si>
  <si>
    <t>LOT 2 BULLER'S FIRST ADDITION</t>
  </si>
  <si>
    <t>DOVER/MARC E &amp; LORI L</t>
  </si>
  <si>
    <t>7310 S 71ST ST LA VISTA NE 68128</t>
  </si>
  <si>
    <t>LOT 271 LA VISTA REPLAT</t>
  </si>
  <si>
    <t>LEWIS/SHEILA</t>
  </si>
  <si>
    <t>7323 S 71ST AVE LA VISTA NE 68128</t>
  </si>
  <si>
    <t>LOT 289 LA VISTA REPLAT</t>
  </si>
  <si>
    <t>LEHOSKY/JAMIE D</t>
  </si>
  <si>
    <t>405 LOCUST ST SPRINGFIELD NE 68059</t>
  </si>
  <si>
    <t>LOT 4 BLOCK 16 SPRINGFIELD</t>
  </si>
  <si>
    <t>MURPHY/DARLENE A</t>
  </si>
  <si>
    <t>7008 SARPY AVE BELLEVUE NE 68147</t>
  </si>
  <si>
    <t>LOT 4 ARMOURDALE</t>
  </si>
  <si>
    <t>COATS/SCOTT &amp; YVONNE BURHOOP</t>
  </si>
  <si>
    <t>22507 MELIA RD GRETNA NE 68028</t>
  </si>
  <si>
    <t>LOT 12 MELIA HILL SUB. NO. 1 (1.87 AC)</t>
  </si>
  <si>
    <t>HEISNER/JULIE A</t>
  </si>
  <si>
    <t>565 VINE ST SPRINGFIELD NE 68059</t>
  </si>
  <si>
    <t>LOT 9 LATHAM'S SUBDIVISION</t>
  </si>
  <si>
    <t>EVANS/JOHN R</t>
  </si>
  <si>
    <t>960 N 4TH ST SPRINGFIELD NE 68059</t>
  </si>
  <si>
    <t>LOT 105 HIGHVIEW ADDITION TO SPRINGFIELD</t>
  </si>
  <si>
    <t>MANZER/JERRY D &amp; CONSTANCE M</t>
  </si>
  <si>
    <t>480 PLATTEVIEW DR SPRINGFIELD NE 68059</t>
  </si>
  <si>
    <t>LOT 12 HIGHVIEW ADDITION TO SPRINGFIELD</t>
  </si>
  <si>
    <t>RHODE/LORI L</t>
  </si>
  <si>
    <t>9510 BRIARWOOD LN BELLEVUE NE 68147</t>
  </si>
  <si>
    <t>LOT 99 BLUE RIDGE</t>
  </si>
  <si>
    <t>HFSC PROPERTIES 1 LLC</t>
  </si>
  <si>
    <t>7106 CHANDLER ACRES DR BELLEVUE NE 68147</t>
  </si>
  <si>
    <t>LOT 173 CHANDLER ACRES</t>
  </si>
  <si>
    <t>BESTA JR/RAYMOND EDWARD</t>
  </si>
  <si>
    <t>7117 CHANDLER ACRES DR BELLEVUE NE 68147</t>
  </si>
  <si>
    <t>LOT 167 CHANDLER ACRES</t>
  </si>
  <si>
    <t>HAWKINS/TERRY &amp; CHERYL</t>
  </si>
  <si>
    <t>565 CEDAR ST SPRINGFIELD NE 68059</t>
  </si>
  <si>
    <t>LOT 8 WATER'S ADDITION</t>
  </si>
  <si>
    <t>GAINES/TROY</t>
  </si>
  <si>
    <t>3636 EDNA ST BELLEVUE NE 68147</t>
  </si>
  <si>
    <t>LOT 15 BLOCK 5 GOOD LUCK ADDITION</t>
  </si>
  <si>
    <t>3317 WILLOW ST BELLEVUE NE 68147</t>
  </si>
  <si>
    <t>LOT 25 CHANDLER ACRES &amp; PT TAX LOT F ADJ ON S</t>
  </si>
  <si>
    <t>POPE/ROBERT D &amp; BARBARA J</t>
  </si>
  <si>
    <t>7542 CHANDLER HILLS DR BELLEVUE NE 68147</t>
  </si>
  <si>
    <t>LOT 53 CHANDLER HILLS</t>
  </si>
  <si>
    <t>7618 CHANDLER HILLS DR BELLEVUE NE 68147</t>
  </si>
  <si>
    <t>LOT 58 CHANDLER HILLS</t>
  </si>
  <si>
    <t>2210 GERTRUDE ST BELLEVUE NE 68147</t>
  </si>
  <si>
    <t>LOT 176 CHANDLER HILLS</t>
  </si>
  <si>
    <t>VONDERLAGE/DARRIN D</t>
  </si>
  <si>
    <t>7304 CHANDLER HILLS DR BELLEVUE NE 68147</t>
  </si>
  <si>
    <t>LOT 279 CHANDLER HILLS</t>
  </si>
  <si>
    <t>BELLEVUE HOUSING AUTHORITY</t>
  </si>
  <si>
    <t>8301 S 9TH ST BELLEVUE NE 68147</t>
  </si>
  <si>
    <t>LOT 11 CHILDS ESTATE ACRES</t>
  </si>
  <si>
    <t>LHOTAK/DEBORAH A</t>
  </si>
  <si>
    <t>8906 S 25TH ST BELLEVUE NE 68147</t>
  </si>
  <si>
    <t>LOT 88 CITTA'S 1ST ADDITION</t>
  </si>
  <si>
    <t>SCHMITT/EARL &amp; ROXANNE</t>
  </si>
  <si>
    <t>LOT C HAROLD SQUARE</t>
  </si>
  <si>
    <t>CRAIG/THOMAS D</t>
  </si>
  <si>
    <t>3906 GERTRUDE TER BELLEVUE NE 68147</t>
  </si>
  <si>
    <t>LOT 12 BLOCK 6 VALLEY VIEW</t>
  </si>
  <si>
    <t>7015 S 39TH AVE BELLEVUE NE 68147</t>
  </si>
  <si>
    <t>LOT 22 BLOCK 6 VALLEY VIEW</t>
  </si>
  <si>
    <t>ACEVEDO/ANDREA &amp; EDGAR</t>
  </si>
  <si>
    <t>7508 S 47TH ST BELLEVUE NE 68157</t>
  </si>
  <si>
    <t>LOT 15 PAWNEE HILLS</t>
  </si>
  <si>
    <t>RIVERA/MAGDALENO &amp; MARIA O</t>
  </si>
  <si>
    <t>3950 MCMAHON AVE BELLEVUE NE 68147</t>
  </si>
  <si>
    <t>LOT 25 ELECTRI-CITY</t>
  </si>
  <si>
    <t>GRAYSON/PETER</t>
  </si>
  <si>
    <t>1/2 VAC ALLEY ADJ ON W &amp; S &amp; PT LOT 2C &amp; W 50' LOT 3 BLOCK 1 GOOD LUCK ADDITION</t>
  </si>
  <si>
    <t>HARRISON PROPERTIES LLC</t>
  </si>
  <si>
    <t>3843 HARRISON ST BELLEVUE NE 68147</t>
  </si>
  <si>
    <t>LOT 15 BLOCK 2 GOOD LUCK ADDITION &amp; VAC ALLEY ADJ</t>
  </si>
  <si>
    <t>ALEXANDER/HEATH G</t>
  </si>
  <si>
    <t>8307 S 38TH ST BELLEVUE NE 68147</t>
  </si>
  <si>
    <t>LOT 9B BLOCK 3 POTTER &amp; GEORGE COMPANY'S SUBDIVISION</t>
  </si>
  <si>
    <t>VIZCAYA MIGUEL</t>
  </si>
  <si>
    <t>7313 S 33RD ST BELLEVUE NE 68147</t>
  </si>
  <si>
    <t>LOT 112 CHANDLER ACRES</t>
  </si>
  <si>
    <t>SIERRA VISTA LLC</t>
  </si>
  <si>
    <t>7005 S 33RD ST BELLEVUE NE 68147</t>
  </si>
  <si>
    <t>LOT 257 CHANDLER ACRES</t>
  </si>
  <si>
    <t>VERNON/VICKI D</t>
  </si>
  <si>
    <t>2307 LILLIAN ST BELLEVUE NE 68147</t>
  </si>
  <si>
    <t>LOT 14 CHANDLER HILLS</t>
  </si>
  <si>
    <t>2202 MYRTLE ST BELLEVUE NE 68147</t>
  </si>
  <si>
    <t>LOT 28 CHANDLER HILLS</t>
  </si>
  <si>
    <t>KOCK/TIMOTHY J</t>
  </si>
  <si>
    <t>TAX LOT 2 18-14-12 (0.53 AC)</t>
  </si>
  <si>
    <t>ABUNDIS/MANUEL</t>
  </si>
  <si>
    <t>TAX LOTS 2A3A &amp; 2A3B 36-14-13 &amp; LOT 32 LAWRE ADDITION #3 (4.30 AC)</t>
  </si>
  <si>
    <t>BEARDMORE/ROBERT E</t>
  </si>
  <si>
    <t>2001 GALVIN RD S BELLEVUE NE 68005</t>
  </si>
  <si>
    <t>TAX LOT 5A 36-14-13 (0.68 AC)</t>
  </si>
  <si>
    <t>YOUNG/MICHAEL R &amp; JOLENE M</t>
  </si>
  <si>
    <t>1208 W 16TH AVE BELLEVUE NE 68005</t>
  </si>
  <si>
    <t>LOT 68 MISSION VIEW</t>
  </si>
  <si>
    <t>BARRETT/BARNEY F</t>
  </si>
  <si>
    <t>712 BELLEVUE BLVD N BELLEVUE NE 68005</t>
  </si>
  <si>
    <t>E 130 FT OF LOT 1A EXC S 15 FT ROAD BLAHAS SUB</t>
  </si>
  <si>
    <t>SHU/KAREN I</t>
  </si>
  <si>
    <t>1603 KAY LYNN DR BELLEVUE NE 68005</t>
  </si>
  <si>
    <t>N 104.5' OF E 56.5' OF PLAYGROUND REEVES ADDITION &amp; W 73.5' OF TAX LOT 2B1-1 36-14-13</t>
  </si>
  <si>
    <t>CASTRO/CHRISTOPHER MATTHEW</t>
  </si>
  <si>
    <t>1003 DOGWOOD CIR BELLEVUE NE 68005</t>
  </si>
  <si>
    <t>LOT 131 FONTENELLE HILLS II</t>
  </si>
  <si>
    <t>LIBERTY BRANDON &amp; SARAH</t>
  </si>
  <si>
    <t>401 DOUGLAS DR BELLEVUE NE 68005</t>
  </si>
  <si>
    <t>LOT 91 FONTENELLE HILLS II</t>
  </si>
  <si>
    <t>BYRNES/SALLY &amp; THOMAS J</t>
  </si>
  <si>
    <t>508 W 23RD AVE BELLEVUE NE 68005</t>
  </si>
  <si>
    <t>W1/2 LOT 9 &amp; ALL LOT 10 BLOCK 276 BELLEVUE</t>
  </si>
  <si>
    <t>15005 S 200TH CIRCLE LLC</t>
  </si>
  <si>
    <t>15005 S 200TH CIR GRETNA NE 68028</t>
  </si>
  <si>
    <t>TAX LOTS 9 &amp; 10 18-13-11 (10.60 AC)</t>
  </si>
  <si>
    <t>WORKMAN/M TODD &amp; VALERIE JEAN</t>
  </si>
  <si>
    <t>20802 MEADOW RIDGE CIR SPRINGFIELD NE 68059</t>
  </si>
  <si>
    <t>LOT 17 MEADOW OAKS (2.10 AC)</t>
  </si>
  <si>
    <t>156TH LLC</t>
  </si>
  <si>
    <t>TAX LOT 2A2 14-14-11 (1.11 AC)</t>
  </si>
  <si>
    <t>REDMOND/GLEN F &amp; DOROTHY M</t>
  </si>
  <si>
    <t>14606 S 227TH ST GRETNA NE 68028</t>
  </si>
  <si>
    <t>TAX LOT 6 14-13-10 (3.09 AC)</t>
  </si>
  <si>
    <t>BURG/ANGELA LIUM</t>
  </si>
  <si>
    <t>25707 OUTER DR GRETNA NE 68028</t>
  </si>
  <si>
    <t>LOT 16 THOMAS RIVERSIDE ACRES</t>
  </si>
  <si>
    <t>HADDIX/ERIC L</t>
  </si>
  <si>
    <t>380 N 2ND ST SPRINGFIELD NE 68059</t>
  </si>
  <si>
    <t>LOT 1 BLOCK 10 SPEARMAN'S FIRST ADDITION TO SPRINGFIELD</t>
  </si>
  <si>
    <t>ICENOGLE/ROBERT ALAN</t>
  </si>
  <si>
    <t>440 S 6TH ST SPRINGFIELD NE 68059</t>
  </si>
  <si>
    <t>LOT 15D GRAND SQUARE ADDITION (.32 AC)</t>
  </si>
  <si>
    <t>MANN/WILLIAM A &amp; CARITA M</t>
  </si>
  <si>
    <t>13814 S 84TH ST PAPILLION NE 68046</t>
  </si>
  <si>
    <t>TAX LOT 2A1 10-13-12 (97.48 AC) (IOLL,011240709)</t>
  </si>
  <si>
    <t>HOFFMAN/GEORGE</t>
  </si>
  <si>
    <t>E OF ROW LOT 3 HIGGIN'S SUBDIVISION OF BLOCK 13 1/2 ALBRIGHT'S CHOICE</t>
  </si>
  <si>
    <t>BARRIENTOS/ALEXANDER F</t>
  </si>
  <si>
    <t>LOT 12 E OF ROAD ALBRIGHT'S CHOICE</t>
  </si>
  <si>
    <t>ODDO/ANTHONY H &amp; LISA ANN</t>
  </si>
  <si>
    <t>7202 S 18TH ST BELLEVUE NE 68147</t>
  </si>
  <si>
    <t>LOTS 7 &amp; 8 BLOCK 5 UNION PACIFIC</t>
  </si>
  <si>
    <t>WASHINGTON PROPERTY LLC</t>
  </si>
  <si>
    <t>517 S WASHINGTON ST PAPILLION NE 68046</t>
  </si>
  <si>
    <t>TAX LOT 16B1A 26-14-12 (0.34 AC)</t>
  </si>
  <si>
    <t>RAMIREZ/DANIEL ROMAN</t>
  </si>
  <si>
    <t>1516 N 11TH ST BELLEVUE NE 68005</t>
  </si>
  <si>
    <t>LOTS 7 &amp; 8 DEE'S SUBDIVISON OF LOTS 33, 34, 35, 36 &amp; 37 - DEE'S ADDITION &amp; VAC ALLEY ADJ</t>
  </si>
  <si>
    <t>COOK/SUSAN M &amp; DEAN A</t>
  </si>
  <si>
    <t>809 KENDEL DR PAPILLION NE 68046</t>
  </si>
  <si>
    <t>LOT 80 GREEN ACRES ADDITION</t>
  </si>
  <si>
    <t>KNAPP/JOHN A</t>
  </si>
  <si>
    <t>19010 S 168TH ST SPRINGFIELD NE 68059</t>
  </si>
  <si>
    <t>N1/2 NE1/4 4-12-11 (81.86 AC)</t>
  </si>
  <si>
    <t>ATHERTON III/ERWIN A</t>
  </si>
  <si>
    <t>2513 VIRGINIA ST BELLEVUE NE 68147</t>
  </si>
  <si>
    <t>LOT 45 HAROLD SQUARE</t>
  </si>
  <si>
    <t>ECKEL/GREGORY &amp; PAMELA J</t>
  </si>
  <si>
    <t>2208 POWER DR BELLEVUE NE 68005</t>
  </si>
  <si>
    <t>LOT 3 AVERY HEIGHTS</t>
  </si>
  <si>
    <t>113 VALLEY VIEW DR BELLEVUE NE 68005</t>
  </si>
  <si>
    <t>LOT 20 BELLAIRE HEIGHTS</t>
  </si>
  <si>
    <t>MELVIN SUDBECK HOMES INC</t>
  </si>
  <si>
    <t>TAX LOT 2 EXC ROW 16-14-11 (35.63 AC)</t>
  </si>
  <si>
    <t>ROWE/HORACE R &amp; MI YONG</t>
  </si>
  <si>
    <t>3204 JACKSON ST BELLEVUE NE 68005</t>
  </si>
  <si>
    <t>LOT 28 SUHL'S ACRES</t>
  </si>
  <si>
    <t>LEWISTON/THOMAS G &amp; THERESA M</t>
  </si>
  <si>
    <t>810 W 32ND AVE BELLEVUE NE 68005</t>
  </si>
  <si>
    <t>LOT 61 FARBER ADDITION</t>
  </si>
  <si>
    <t>PBM ASSET MANAGEMENT INC</t>
  </si>
  <si>
    <t>LOTS 19B &amp; 20B BIRCHWOOD ESTATES (0.60 AC)</t>
  </si>
  <si>
    <t>SHAW JR/LAUREN L</t>
  </si>
  <si>
    <t>LOT 2C1-3 LAWRE ADDITION NO. 1</t>
  </si>
  <si>
    <t>REZA GENEVIEVE J &amp; ALEX L</t>
  </si>
  <si>
    <t>1402 MADISON ST BELLEVUE NE 68005</t>
  </si>
  <si>
    <t>LOT 19 &amp; E 10 FT LOT 20 LAWRE ADDITION #3</t>
  </si>
  <si>
    <t>ALCALA FORTUNATO</t>
  </si>
  <si>
    <t>914 MCLAUGHLIN CIR BELLEVUE NE 68005</t>
  </si>
  <si>
    <t>LOT 37 BLOCK 1 RUSHART ADDITION</t>
  </si>
  <si>
    <t>MALIK/ARUN</t>
  </si>
  <si>
    <t>1024 BERT MURPHY BLVD BELLEVUE NE 68005</t>
  </si>
  <si>
    <t>LOT 81 BLOCK 1 RUSHART ADDITION</t>
  </si>
  <si>
    <t>HOLLOWAY JR/WARDELL</t>
  </si>
  <si>
    <t>1008 BRYAN AVE BELLEVUE NE 68005</t>
  </si>
  <si>
    <t>LOT 46 TWIN RIDGE II</t>
  </si>
  <si>
    <t>1102 BRYAN AVE BELLEVUE NE 68005</t>
  </si>
  <si>
    <t>LOT 49 TWIN RIDGE II</t>
  </si>
  <si>
    <t>910 W 32ND AVE BELLEVUE NE 68005</t>
  </si>
  <si>
    <t>LOT 32 TILLER ADDITION</t>
  </si>
  <si>
    <t>ALT/KAY</t>
  </si>
  <si>
    <t>2404 WASHINGTON ST BELLEVUE NE 68005</t>
  </si>
  <si>
    <t>LOTS 8 &amp; 9 BLOCK 250 BELLEVUE</t>
  </si>
  <si>
    <t>DECKER/PAUL</t>
  </si>
  <si>
    <t>PT LOT 3A TWIN RIDGE II ADJ TO LOT 3C</t>
  </si>
  <si>
    <t>CADWELL/MICHAEL A</t>
  </si>
  <si>
    <t>2811 GREENSBORO AVE BELLEVUE NE 68005</t>
  </si>
  <si>
    <t>LOT 222 TWIN RIDGE II</t>
  </si>
  <si>
    <t>2812 MARS CIR BELLEVUE NE 68005</t>
  </si>
  <si>
    <t>LOT 197 TWIN RIDGE II</t>
  </si>
  <si>
    <t>CARSON/DOUGLAS A &amp; RICKIE</t>
  </si>
  <si>
    <t>1802 COLLINS DR BELLEVUE NE 68005</t>
  </si>
  <si>
    <t>E 36' LOT 9 &amp; ALL LOT 10 MISSION HEIGHTS ADDITION A""</t>
  </si>
  <si>
    <t>N1/4 S1/2 NW1/4 EXC ROW 3-12-11 (20.03 AC)</t>
  </si>
  <si>
    <t>EMORY GIA A &amp; RONALD L</t>
  </si>
  <si>
    <t>505 RIDGE RD BELLEVUE NE 68005</t>
  </si>
  <si>
    <t>LOT 12 RIVERVIEW HEIGHTS REPLAT</t>
  </si>
  <si>
    <t>BELLEVUE SHOPPING CENTER LLC</t>
  </si>
  <si>
    <t>508 GALVIN RD S BELLEVUE NE 68005</t>
  </si>
  <si>
    <t>TAX LOT 6A1B1 26-14-13 (1.36 AC)</t>
  </si>
  <si>
    <t>MNA1 LLC</t>
  </si>
  <si>
    <t>5402 HWY 370 PAPILLION NE 68133</t>
  </si>
  <si>
    <t>E 350 OF W 900' OF TAX LOT 11B &amp; 11A1 EXC CEMETERY &amp; ROW 31-14-13 (13.60 AC) (2 HOUSES)</t>
  </si>
  <si>
    <t>SHREE GAJANAN LLC</t>
  </si>
  <si>
    <t>2215 LINCOLN RD BELLEVUE NE 68005</t>
  </si>
  <si>
    <t>VAC STS ADJ &amp; LOT 7 BLOCK 359 BELLEVUE</t>
  </si>
  <si>
    <t>SOUKUP/RICHARD J</t>
  </si>
  <si>
    <t>805 N 5TH ST BELLEVUE NE 68005</t>
  </si>
  <si>
    <t>LOT 3 LINDYVIEW NUMBER 2</t>
  </si>
  <si>
    <t>ROBERTS/LOIS A</t>
  </si>
  <si>
    <t>606 N 4TH ST BELLEVUE NE 68005</t>
  </si>
  <si>
    <t>LOT 90 NOB HILL</t>
  </si>
  <si>
    <t>BARRETT/BERNARD F</t>
  </si>
  <si>
    <t>802 N 5TH ST BELLEVUE NE 68005</t>
  </si>
  <si>
    <t>LOT 93 REPLAT OF LINDYVIEW #2</t>
  </si>
  <si>
    <t>LM&amp;F INVESTMENTS LLC</t>
  </si>
  <si>
    <t>807 N 4TH ST BELLEVUE NE 68005</t>
  </si>
  <si>
    <t>LOT P LINDYVIEW</t>
  </si>
  <si>
    <t>PINEDA/MARIA</t>
  </si>
  <si>
    <t>804 BELLEVUE BLVD N BELLEVUE NE 68005</t>
  </si>
  <si>
    <t>LOT 3D LINDS SUBDIVISION OF LOT 3 ESTES SUBDIVISION</t>
  </si>
  <si>
    <t>HORT/VICKI</t>
  </si>
  <si>
    <t>1004 GRANDVIEW AVE BELLEVUE NE 68005</t>
  </si>
  <si>
    <t>LOT 13 LAWNDALE &amp; VAC PRAIRIE AVE</t>
  </si>
  <si>
    <t>SILVA/LORENA</t>
  </si>
  <si>
    <t>2005 TULIP LN BELLEVUE NE 68005</t>
  </si>
  <si>
    <t>LOT O HILLSIDE SUBDIVISION</t>
  </si>
  <si>
    <t>BBT PROPERTIES LLC</t>
  </si>
  <si>
    <t>LOT 5 POINT SANS ARC (7.69 AC)</t>
  </si>
  <si>
    <t>MENCO CORP</t>
  </si>
  <si>
    <t>LOT 2B FAIR HILL ADDITION</t>
  </si>
  <si>
    <t>ONATE/LINO</t>
  </si>
  <si>
    <t>8418 S 36TH ST BELLEVUE NE 68147</t>
  </si>
  <si>
    <t>LOT 5B BLOCK 3 POTTER &amp; GEORGE COMPANY'S SUBDIVISION</t>
  </si>
  <si>
    <t>BROWN/DARRYL &amp; SHENEATRON Y</t>
  </si>
  <si>
    <t>2823 HARRISON ST BELLEVUE NE 68147</t>
  </si>
  <si>
    <t>LOT 9 &amp; E 1/2 LOT 10 BLOCK 2 WELLINGTON HEIGHTS &amp; 1/2 VAC ALLEY ADJ</t>
  </si>
  <si>
    <t>7422 HARVEST HILLS DR LA VISTA NE 68128</t>
  </si>
  <si>
    <t>LOT 133 S &amp; S'S HARVEST HILL</t>
  </si>
  <si>
    <t>VDA INVESTMENTS LLC</t>
  </si>
  <si>
    <t>LOTS 6-10 BLOCK 3 ZURCHER'S SUB-DIV.</t>
  </si>
  <si>
    <t>LOTS 4- 15 BLOCK 2 ZURCHER'S SUB-DIV.</t>
  </si>
  <si>
    <t>RUGE/HELEN</t>
  </si>
  <si>
    <t>LOT 28B COUNTRY CLUB ACRES</t>
  </si>
  <si>
    <t>LOTS 4-10 BLOCK 1 ZURCHER'S SUB-DIV.</t>
  </si>
  <si>
    <t>GROTE/SHELLAINE M</t>
  </si>
  <si>
    <t>750 S ADAMS ST PAPILLION NE 68046</t>
  </si>
  <si>
    <t>LOTS 1 &amp; 2 BLOCK 30 PIKE'S FIRST ADDITION TO SOUTH PAPILLION</t>
  </si>
  <si>
    <t>MATZEN/DAVID R &amp; KIMBERLY A</t>
  </si>
  <si>
    <t>1808 GROVE RD BELLEVUE NE 68005</t>
  </si>
  <si>
    <t>LOTS 7FC1 &amp; PT ABANDON INTERURBAN ROW LOTS 7 &amp; 6 EXC 6C ESTES SUBDIVISION (1.80 AC)</t>
  </si>
  <si>
    <t>MARCO/DANNY R</t>
  </si>
  <si>
    <t>LOTS 10-16 INC BLOCK 7 FIRST ADDITION TO RANDOLPH PLACE TO SOUTH OMAHA &amp; VAC ALLEY ADJ LOTS 13 &amp; 14</t>
  </si>
  <si>
    <t>GOMEZ/HERIBERTO</t>
  </si>
  <si>
    <t>LOTS 28-30 &amp; LOT 3, EX ROW, BLOCK 11 FIRST ADDITION TO RANDOLPH PLACE TO SOUTH OMAHA &amp; ALL VAC ALLEY ADJ</t>
  </si>
  <si>
    <t>LIMEBOX PROPERTIES LLC</t>
  </si>
  <si>
    <t>7606 S 26TH ST BELLEVUE NE 68147</t>
  </si>
  <si>
    <t>S1/2 LOTS 1 &amp; 2 BLOCK 12 FIRST ADDITION TO RANDOLPH PLACE TO SOUTH OMAHA &amp; N1/2 VAC ALLEY ADJ</t>
  </si>
  <si>
    <t>MARCAULT/DOUGLAS DWAIN</t>
  </si>
  <si>
    <t>2815 MARGO ST BELLEVUE NE 68147</t>
  </si>
  <si>
    <t>LOTS 6 &amp; 7 BLOCK 10 FIRST ADDITION TO RANDOLPH PLACE TO SOUTH OMAHA</t>
  </si>
  <si>
    <t>VACCARO/VINCENT M &amp; DEBRA A</t>
  </si>
  <si>
    <t>2830 LILLIAN ST BELLEVUE NE 68147</t>
  </si>
  <si>
    <t>LOT 19 BLOCK 4 FIRST ADDITION TO RANDOLPH PLACE TO SOUTH OMAHA &amp; 1/2 VAC ALLEY ADJ</t>
  </si>
  <si>
    <t>EJCO LLC</t>
  </si>
  <si>
    <t>2514 W CHANDLER RD BELLEVUE NE 68147</t>
  </si>
  <si>
    <t>LOT 24 &amp; E 1/2 LOT 23 BLOCK 4 RANDOLPH PLACE</t>
  </si>
  <si>
    <t>FRANS/KEITH J</t>
  </si>
  <si>
    <t>2817 OLIVE ST BELLEVUE NE 68147</t>
  </si>
  <si>
    <t>LOTS 9 &amp; 10 BLOCK 4 FIRST ADDITION TO RANDOLPH PLACE TO SOUTH OMAHA 1/2 VAC ALLEY ADJ</t>
  </si>
  <si>
    <t>550 E 5TH ST PAPILLION NE 68046</t>
  </si>
  <si>
    <t>LOT 1 SVAGERA'S ADDITION &amp; VAC BONNIE AVE ADJ ON E</t>
  </si>
  <si>
    <t>ORTEGA/KEVIN</t>
  </si>
  <si>
    <t>11709 GOLDEN BLVD BELLEVUE NE 68123</t>
  </si>
  <si>
    <t>LOT 123 GOLDEN HILLS</t>
  </si>
  <si>
    <t>CANNON/LUCY</t>
  </si>
  <si>
    <t>2103 ALBERTA AVE BELLEVUE NE 68005</t>
  </si>
  <si>
    <t>LOT 113 NOB HILL</t>
  </si>
  <si>
    <t>MACH/ROBERT T &amp; CHRISTIE A</t>
  </si>
  <si>
    <t>2107 DAGMAR AVE BELLEVUE NE 68005</t>
  </si>
  <si>
    <t>LOT 130 NOB HILL</t>
  </si>
  <si>
    <t>4701 SCHROEDER DR BELLEVUE NE 68157</t>
  </si>
  <si>
    <t>LOT 10 FAULKLAND HEIGHTS</t>
  </si>
  <si>
    <t>3011 HARRISON ST BELLEVUE NE 68147</t>
  </si>
  <si>
    <t>LOT 5 SPAULDING REPLAT NO. I</t>
  </si>
  <si>
    <t>WUERFELE/PAVIELLE</t>
  </si>
  <si>
    <t>2907 NEBRASKA CIR BELLEVUE NE 68005</t>
  </si>
  <si>
    <t>LOT 102 SOUTH WOODS</t>
  </si>
  <si>
    <t>VIKING CONSTRUCTION INC</t>
  </si>
  <si>
    <t>OUTLOT A VIKING PARK (0.07 AC)</t>
  </si>
  <si>
    <t>NEUMANN/HERMAN A</t>
  </si>
  <si>
    <t>SUBLOT 7 E OF RAILROAD ROW ABRAHAM'S SUBDIVISION OF TAX LOT D (.48 AC)</t>
  </si>
  <si>
    <t>7001 S 28TH ST BELLEVUE NE 68147</t>
  </si>
  <si>
    <t>LOTS 13-14 BLOCK 4 WELLINGTON HEIGHTS &amp; 5 FT VAC ALLEY ADJ</t>
  </si>
  <si>
    <t>SHAW TOM</t>
  </si>
  <si>
    <t>7201 TETON AVE BELLEVUE NE 68157</t>
  </si>
  <si>
    <t>LOT 307 SUN VALLEY</t>
  </si>
  <si>
    <t>NEVIUS/JEAN M</t>
  </si>
  <si>
    <t>3009 COLUMBUS AVE BELLEVUE NE 68005</t>
  </si>
  <si>
    <t>LOT 48 SOUTH WOODS</t>
  </si>
  <si>
    <t>MACRANDER/SUSAN JANE</t>
  </si>
  <si>
    <t>3209 BLUE RIDGE DR BELLEVUE NE 68147</t>
  </si>
  <si>
    <t>LOT 30 PLEASANT RIDGE</t>
  </si>
  <si>
    <t>BOYER ROBERT E</t>
  </si>
  <si>
    <t>LOT 6 ROSE DALE HEIGHTS NO 1</t>
  </si>
  <si>
    <t>LOT 7 ROSE DALE HEIGHTS NO 1</t>
  </si>
  <si>
    <t>JENKINS/DON R &amp; MONA R</t>
  </si>
  <si>
    <t>7160 S 53RD ST BELLEVUE NE 68157</t>
  </si>
  <si>
    <t>LOT 45 SUN VALLEY PARK</t>
  </si>
  <si>
    <t>FUTURE BUSINESS CENTER LLC</t>
  </si>
  <si>
    <t>2609 W CHANDLER RD BELLEVUE NE 68147</t>
  </si>
  <si>
    <t>LOT 16A PROKUPEK SUBDIVISION</t>
  </si>
  <si>
    <t>JANNEY/JUDITH ANN</t>
  </si>
  <si>
    <t>7312 S 78TH ST LA VISTA NE 68128</t>
  </si>
  <si>
    <t>LOT 1266 LA VISTA</t>
  </si>
  <si>
    <t>GLASS/MARLENE K</t>
  </si>
  <si>
    <t>2611 MARGO ST BELLEVUE NE 68147</t>
  </si>
  <si>
    <t>LOTS 5 &amp; 6 BLOCK 12 FIRST ADDITION TO RANDOLPH PLACE TO SOUTH OMAHA &amp; N 1/2 VAC ALLEY ADJ</t>
  </si>
  <si>
    <t>LOTS 12-17 INC BLOCK 12 FIRST ADDITION TO RANDOLPH PLACE TO SOUTH OMAHA &amp; VAC ALLEY ADJ</t>
  </si>
  <si>
    <t>BOCANEGRA/SANJUANA ARROYO</t>
  </si>
  <si>
    <t>2519 LILLIAN ST BELLEVUE NE 68147</t>
  </si>
  <si>
    <t>LOT 9 BLOCK 3 RANDOLPH PLACE</t>
  </si>
  <si>
    <t>7301 SARPY AVE BELLEVUE NE 68147</t>
  </si>
  <si>
    <t>LOTS 7B, 8 &amp; 9 BLOCK 1 FIRST ADDITION TO RANDOLPH PLACE TO SOUTH OMAHA &amp; S1/2 VAC JOSEPHINE ST ADJ LOT 8</t>
  </si>
  <si>
    <t>SALVADOR/JANUARY M</t>
  </si>
  <si>
    <t>7521 ARROWROCK DR BELLEVUE NE 68157</t>
  </si>
  <si>
    <t>LOT 158 SUN VALLEY</t>
  </si>
  <si>
    <t>HAACK/CHRISTINE N</t>
  </si>
  <si>
    <t>7414 ARROWROCK DR BELLEVUE NE 68157</t>
  </si>
  <si>
    <t>LOT 177 SUN VALLEY</t>
  </si>
  <si>
    <t>LUNDY JACOB R</t>
  </si>
  <si>
    <t>7518 SMOKEY CIR BELLEVUE NE 68157</t>
  </si>
  <si>
    <t>LOT 186 SUN VALLEY</t>
  </si>
  <si>
    <t>MCGINTY/PATRICK &amp; KELLY</t>
  </si>
  <si>
    <t>5102 ASPEN DR BELLEVUE NE 68157</t>
  </si>
  <si>
    <t>LOT 194 SUN VALLEY</t>
  </si>
  <si>
    <t>DEMPSEY/JEANETTE C</t>
  </si>
  <si>
    <t>LOT 228, EX E 26', SUN VALLEY</t>
  </si>
  <si>
    <t>S&amp;W INVESTMENTS LLC</t>
  </si>
  <si>
    <t>7410 S 40TH ST BELLEVUE NE 68147</t>
  </si>
  <si>
    <t>LOT 9 BLOCK 4 HIGH MEADOWS</t>
  </si>
  <si>
    <t>4901 LILLIAN ST BELLEVUE NE 68157</t>
  </si>
  <si>
    <t>LOT 43 MACLAD HEIGHTS</t>
  </si>
  <si>
    <t>KING/LARRY E</t>
  </si>
  <si>
    <t>4821 LILLIAN ST BELLEVUE NE 68157</t>
  </si>
  <si>
    <t>LOT 48 MACLAD HEIGHTS</t>
  </si>
  <si>
    <t>7216 PARK VIEW BLVD LA VISTA NE 68128</t>
  </si>
  <si>
    <t>LOT 746 LA VISTA</t>
  </si>
  <si>
    <t>WARNACA DAVID</t>
  </si>
  <si>
    <t>7541 OLIVE AVE LA VISTA NE 68128</t>
  </si>
  <si>
    <t>LOT 616 LA VISTA REPLAT</t>
  </si>
  <si>
    <t>713 E 7TH ST PAPILLION NE 68046</t>
  </si>
  <si>
    <t>LOT 241 TARA HEIGHTS</t>
  </si>
  <si>
    <t>WHITE/CARRIE L</t>
  </si>
  <si>
    <t>7621 TEAL ST LA VISTA NE 68128</t>
  </si>
  <si>
    <t>LOT 856 LA VISTA</t>
  </si>
  <si>
    <t>CITY OF LA VISTA NEBRASKA</t>
  </si>
  <si>
    <t xml:space="preserve">07605 PARK VIEW BLVD  NE </t>
  </si>
  <si>
    <t>LOT 912 LA VISTA</t>
  </si>
  <si>
    <t xml:space="preserve">07413 PARK VIEW BLVD  NE </t>
  </si>
  <si>
    <t>LOT 929 LA VISTA</t>
  </si>
  <si>
    <t>NEBRASKA HOME LLC</t>
  </si>
  <si>
    <t>6301 HARRISON ST BELLEVUE NE 68157</t>
  </si>
  <si>
    <t>TAX LOTS 2B2 EXC N 17 FT  &amp; TAX LOT 3B 13-14-12 (1.86 AC)</t>
  </si>
  <si>
    <t>DECKER ENTERPRISES INC</t>
  </si>
  <si>
    <t>TAX LOT I 13-14-12 (1.04 AC)</t>
  </si>
  <si>
    <t>ROBERTSON/STEVEN &amp; THERESA</t>
  </si>
  <si>
    <t>503 S ADAMS ST PAPILLION NE 68046</t>
  </si>
  <si>
    <t>LOT 12 BLOCK 16 SOUTH PAPILLION</t>
  </si>
  <si>
    <t>SZYNSKIE/THOMAS &amp; VANESSA</t>
  </si>
  <si>
    <t>721 N BEADLE ST PAPILLION NE 68046</t>
  </si>
  <si>
    <t>LOT 130 TARA HEIGHTS</t>
  </si>
  <si>
    <t>716 JANES VIEW ST PAPILLION NE 68046</t>
  </si>
  <si>
    <t>LOT 94 TARA HEIGHTS</t>
  </si>
  <si>
    <t>SZYNSKIE/THOMAS D &amp; VANESSA</t>
  </si>
  <si>
    <t>715 JANES VIEW ST PAPILLION NE 68046</t>
  </si>
  <si>
    <t>LOT 109 TARA HEIGHTS</t>
  </si>
  <si>
    <t>PENNEY/STEVEN D &amp; KRISTINE K</t>
  </si>
  <si>
    <t>503 SHANNON RD PAPILLION NE 68046</t>
  </si>
  <si>
    <t>LOT 183 TARA HEIGHTS</t>
  </si>
  <si>
    <t>ESPINOZA/DANIEL A &amp; LAURA I</t>
  </si>
  <si>
    <t>W 45' LOTS 3 &amp; 4 BLOCK 7 BEADLES SUBDIVISION</t>
  </si>
  <si>
    <t>CORBIN/LYNETTE A</t>
  </si>
  <si>
    <t>240 N GRANDVIEW AVE PAPILLION NE 68046</t>
  </si>
  <si>
    <t>S 8' OF E 1/2 OF LOT 1 &amp; E 1/2 LOT 2 BLOCK 39 BEADLES SECOND ADDITION</t>
  </si>
  <si>
    <t>ROBERTSON/STEVEN L</t>
  </si>
  <si>
    <t>146 W 2ND ST PAPILLION NE 68046</t>
  </si>
  <si>
    <t>LOTS 5A &amp; 6A BLOCK 14 PAPILLION</t>
  </si>
  <si>
    <t>LIPMAN/LELAND V &amp; BARBARA</t>
  </si>
  <si>
    <t>108 W 2ND ST PAPILLION NE 68046</t>
  </si>
  <si>
    <t>LOTS 4A &amp; 5C2 BLOCK 14 PAPILLION</t>
  </si>
  <si>
    <t>HOGAN/DEVEN</t>
  </si>
  <si>
    <t>8813 PARK VIEW BLVD LA VISTA NE 68128</t>
  </si>
  <si>
    <t>LOT 239 PARK VIEW HEIGHTS 2ND ADDITION</t>
  </si>
  <si>
    <t>LONG/BRITTNEY</t>
  </si>
  <si>
    <t>8311 S 49TH AVE BELLEVUE NE 68157</t>
  </si>
  <si>
    <t>LOT 98 SOUTHERN PARK ADDITION</t>
  </si>
  <si>
    <t>POLSEY/DAVID A &amp; JUDITH A</t>
  </si>
  <si>
    <t>4960 GILES RD BELLEVUE NE 68157</t>
  </si>
  <si>
    <t>LOT 59 SOUTHERN PARK ADDITION</t>
  </si>
  <si>
    <t>ORTGIESEN/ADAM B</t>
  </si>
  <si>
    <t>8406 S 49TH AVE BELLEVUE NE 68157</t>
  </si>
  <si>
    <t>LOT 91 SOUTHERN PARK ADDITION</t>
  </si>
  <si>
    <t>MOYER DAVID</t>
  </si>
  <si>
    <t>1108 JACQUELINE CIR PAPILLION NE 68046</t>
  </si>
  <si>
    <t>LOT 147, EX S 6', PARK HILLS III</t>
  </si>
  <si>
    <t>303 E 7TH ST PAPILLION NE 68046</t>
  </si>
  <si>
    <t>LOT 15 TARA HEIGHTS</t>
  </si>
  <si>
    <t>MURANTE/SAM</t>
  </si>
  <si>
    <t>1109 PATRICIA DR PAPILLION NE 68046</t>
  </si>
  <si>
    <t>LOT 176 PARK HILLS III</t>
  </si>
  <si>
    <t>1105 PATRICIA DR PAPILLION NE 68046</t>
  </si>
  <si>
    <t>LOT 174 PARK HILLS III</t>
  </si>
  <si>
    <t>1128 PATRICIA DR PAPILLION NE 68046</t>
  </si>
  <si>
    <t>LOT 208 PARK HILLS III</t>
  </si>
  <si>
    <t>4105 BARTMANN DR BELLEVUE NE 68147</t>
  </si>
  <si>
    <t>LOT 5 BLOCK 11 SOUTHERN HILLS</t>
  </si>
  <si>
    <t>BROWN/JAYSON</t>
  </si>
  <si>
    <t>7705 S 42ND ST BELLEVUE NE 68147</t>
  </si>
  <si>
    <t>LOT 2 BLOCK 10 SOUTHERN HILLS</t>
  </si>
  <si>
    <t>GLENN/THOMAS R &amp; MARY H</t>
  </si>
  <si>
    <t>7631 S 41ST AVE BELLEVUE NE 68147</t>
  </si>
  <si>
    <t>LOT 14 BLOCK 2 SOUTHERN HILLS</t>
  </si>
  <si>
    <t>3907 W CHANDLER RD BELLEVUE NE 68147</t>
  </si>
  <si>
    <t>LOT 2 BLOCK 6 SOUTHERN HILLS</t>
  </si>
  <si>
    <t>NEUMANN/HERMAN A &amp; RACHEL</t>
  </si>
  <si>
    <t>TAX LOT A2 14-14-13 (1.47 AC)</t>
  </si>
  <si>
    <t>WHITWORTH/CARRIE</t>
  </si>
  <si>
    <t>2802 MADISON ST BELLEVUE NE 68005</t>
  </si>
  <si>
    <t>LOTS 7A &amp; 8A BLOCK 283 BELLEVUE &amp; S 5 FT VAC 28TH AVE</t>
  </si>
  <si>
    <t>MCKECHNIE/JEAN</t>
  </si>
  <si>
    <t>1807 WARREN ST BELLEVUE NE 68005</t>
  </si>
  <si>
    <t>N 9 FT LOT 2 &amp; S 40 FT LOT 3 BLOCK 29 BELLEVUE &amp; W 8 FT VAC ALLEY</t>
  </si>
  <si>
    <t>CIESLIK/JOSEPH G &amp; MARY K</t>
  </si>
  <si>
    <t>TAX LOT 4B 22-14-13 (0.19 AC)</t>
  </si>
  <si>
    <t>5002 ROBIN DR BELLEVUE NE 68157</t>
  </si>
  <si>
    <t>LOTS 22 &amp; 23 SOUTHERN PARK ADDITION</t>
  </si>
  <si>
    <t>CLARK MARY K</t>
  </si>
  <si>
    <t>1101 SHERMAN ST PAPILLION NE 68046</t>
  </si>
  <si>
    <t>LOT 192 OVERLAND HILLS</t>
  </si>
  <si>
    <t>1101 OVERLAND TRL PAPILLION NE 68046</t>
  </si>
  <si>
    <t>LOT 157 OVERLAND HILLS</t>
  </si>
  <si>
    <t>BELLINO LAND DEVELOPMENT LLC</t>
  </si>
  <si>
    <t>SW1/4 SW1/4 25-14-12 (31.30 AC)</t>
  </si>
  <si>
    <t>TAX LOT 24 36-14-12 (26.83 AC)</t>
  </si>
  <si>
    <t>TAX LOTS B2C &amp; E3, EX RD ROW, 36-14-12 (2.72 AC)</t>
  </si>
  <si>
    <t>BURGE JR/DOUGLAS</t>
  </si>
  <si>
    <t>405 W 22ND AVE BELLEVUE NE 68005</t>
  </si>
  <si>
    <t>LOT 9 BLOCK 270 BELLEVUE &amp; N 8 FT VAC ALLEY ADJ</t>
  </si>
  <si>
    <t>MONTELONGO NEIKKA</t>
  </si>
  <si>
    <t>2106 CRAWFORD ST BELLEVUE NE 68005</t>
  </si>
  <si>
    <t>LOT 9 BLOCK 327 BELLEVUE &amp; E 8 FT VAC ALLEY ADJ</t>
  </si>
  <si>
    <t>N 28 FT LOT 11 BLOCK 327 BELLEVUE &amp; E 8 FT VAC ALLEY ADJ</t>
  </si>
  <si>
    <t>MAXX'S HOUSING LLC</t>
  </si>
  <si>
    <t>802 W 25TH AVE BELLEVUE NE 68005</t>
  </si>
  <si>
    <t>LOT 12 EXC N 13.5 FT BLOCK 323 BELLEVUE</t>
  </si>
  <si>
    <t>OPTIMIZER INC</t>
  </si>
  <si>
    <t>609 W MISSION AVE BELLEVUE NE 68005</t>
  </si>
  <si>
    <t>LOT 1 BLOCK 297 BELLEVUE &amp; VAC STS ADJ</t>
  </si>
  <si>
    <t>1009 W MISSION AVE BELLEVUE NE 68005</t>
  </si>
  <si>
    <t>LOTS 7A, 7B &amp; W 110' OF N 37' OF LOT 8 BLOCK 360 BELLEVUE</t>
  </si>
  <si>
    <t>SULLIVAN/SARAH E</t>
  </si>
  <si>
    <t>TAX LOTS 10B &amp; 12C 27-13-13 (16.02 AC)</t>
  </si>
  <si>
    <t>CRKF05 LLC, ETAL</t>
  </si>
  <si>
    <t>TAX LOT 7B1 15-14-13 (1.07 AC)</t>
  </si>
  <si>
    <t>SVAJGL JR/KENNETH JOHN</t>
  </si>
  <si>
    <t>7121 S 28TH ST BELLEVUE NE 68147</t>
  </si>
  <si>
    <t>TAX LOT B10B 16-14-13 (.21 AC)</t>
  </si>
  <si>
    <t>SEVERSON DERRION K</t>
  </si>
  <si>
    <t>2231 MADISON ST BELLEVUE NE 68005</t>
  </si>
  <si>
    <t>N 73.5 FT LOTS 10-12 BLOCK 269 BELLEVUE</t>
  </si>
  <si>
    <t>MALMBERG/CHRIS &amp; NATALIE</t>
  </si>
  <si>
    <t>201 W MISSION AVE BELLEVUE NE 68005</t>
  </si>
  <si>
    <t>LOTS 6A &amp; 6C BLOCK 197 BELLEVUE</t>
  </si>
  <si>
    <t>RENN/RALPH P &amp; ARDELLA</t>
  </si>
  <si>
    <t>LOT 11 BLOCK 111 BELLEVUE</t>
  </si>
  <si>
    <t>WATSON/CHRISTOPHER M</t>
  </si>
  <si>
    <t>2502 FRANKLIN ST BELLEVUE NE 68005</t>
  </si>
  <si>
    <t>LOT 7 EXC S 10 FT BLOCK 179 BELLEVUE</t>
  </si>
  <si>
    <t>KILHEAD CAPITAL LLC</t>
  </si>
  <si>
    <t>2507 CRAWFORD ST BELLEVUE NE 68005</t>
  </si>
  <si>
    <t>LOT 7 REPLAT OF BLOCK 307 BELLEVUE</t>
  </si>
  <si>
    <t>VAUGHAN/GEORGIA L</t>
  </si>
  <si>
    <t>2609 CALHOUN ST BELLEVUE NE 68005</t>
  </si>
  <si>
    <t>N 8 FT LOT 1 &amp; S 40 FT LOT 2 BLOCK 320 BELLEVUE</t>
  </si>
  <si>
    <t>GOTTSCHALK/DONALD W</t>
  </si>
  <si>
    <t>1322 FRANKLIN ST BELLEVUE NE 68005</t>
  </si>
  <si>
    <t>LOT 7 &amp; N 1O FT LOT 8 BLOCK 167 BELLEVUE</t>
  </si>
  <si>
    <t>108 E 28TH AVE BELLEVUE NE 68005</t>
  </si>
  <si>
    <t>E 87 FT LOTS 11 &amp; 12 BLOCK 121 BELLEVUE</t>
  </si>
  <si>
    <t>2807 FRANKLIN ST BELLEVUE NE 68005</t>
  </si>
  <si>
    <t>LOTS 1, 2 &amp; 3 BLOCK 120 BELLEVUE</t>
  </si>
  <si>
    <t>BYRNES JR/THOMAS J</t>
  </si>
  <si>
    <t>2606 HANCOCK ST BELLEVUE NE 68005</t>
  </si>
  <si>
    <t>LOT 9 BLOCK 122 BELLEVUE</t>
  </si>
  <si>
    <t>BYRNES/THOMAS J &amp; SALLY J</t>
  </si>
  <si>
    <t>2608 HANCOCK ST BELLEVUE NE 68005</t>
  </si>
  <si>
    <t>LOT 10 BLOCK 122 BELLEVUE</t>
  </si>
  <si>
    <t>WRIGHT/ARMOUR P</t>
  </si>
  <si>
    <t>LOT 7 BLOCK 1 BELLEVUE &amp; E 8 FT VAC ALLEY ADJ</t>
  </si>
  <si>
    <t>WURGLER PAMELA J &amp; WILLIAM W</t>
  </si>
  <si>
    <t>2806 CLAY ST BELLEVUE NE 68005</t>
  </si>
  <si>
    <t>S 7 FT LOT 8 &amp; ALL LOT 9 BLOCK 346 BELLEVUE</t>
  </si>
  <si>
    <t>MERKLEY/SUSAN P</t>
  </si>
  <si>
    <t>2504 HANCOCK ST BELLEVUE NE 68005</t>
  </si>
  <si>
    <t>LOT 8 BLOCK 124 BELLEVUE</t>
  </si>
  <si>
    <t>PAPIO-MISSOURI RIVER</t>
  </si>
  <si>
    <t>14310 ELBOW BEND RD BELLEVUE NE 68005</t>
  </si>
  <si>
    <t>TAX LOT 9A 17-13-14 (11.06 AC)</t>
  </si>
  <si>
    <t>HURLBUTT/RITA F</t>
  </si>
  <si>
    <t>TAX LOTS 6-8 19-13-14 (26.03 AC)</t>
  </si>
  <si>
    <t>309 MISSOURI RIVER RD BELLEVUE NE 68005</t>
  </si>
  <si>
    <t>PT OF TAX LOTS 9 &amp; 10 19-13-14 (4.45 AC)</t>
  </si>
  <si>
    <t>TAX LOTS A1, B &amp; 22B 18-13-14 (48.60 AC)</t>
  </si>
  <si>
    <t>MANN/HELEN</t>
  </si>
  <si>
    <t>9004 FAIRVIEW RD PAPILLION NE 68046</t>
  </si>
  <si>
    <t>E1/2 SW1/4 &amp; W1/2 SE1/4 NW1/4 10-13-12 (97.81 AC)</t>
  </si>
  <si>
    <t>14512 ELBOW BEND RD BELLEVUE NE 68005</t>
  </si>
  <si>
    <t>TAX LOT 1E 17-13-14 (0.91 AC)</t>
  </si>
  <si>
    <t>208 E 23RD AVE BELLEVUE NE 68005</t>
  </si>
  <si>
    <t>LOT 9 BLOCK 106 BELLEVUE</t>
  </si>
  <si>
    <t>2213 MAIN ST BELLEVUE NE 68005</t>
  </si>
  <si>
    <t>LOTS 1 &amp; 2 BLOCK 56 BELLEVUE</t>
  </si>
  <si>
    <t>REID/DAVID R</t>
  </si>
  <si>
    <t>3404 LYNNWOOD DR BELLEVUE NE 68123</t>
  </si>
  <si>
    <t>LOT 171 LEAWOOD OAKS</t>
  </si>
  <si>
    <t>TAX LOT A 2-13-13 (0.22 AC)</t>
  </si>
  <si>
    <t>POE/MAX C</t>
  </si>
  <si>
    <t>2229 WILSON DR BELLEVUE NE 68005</t>
  </si>
  <si>
    <t>LOT 9 WILSON &amp; JOHNSON SUBDIVISION</t>
  </si>
  <si>
    <t>BRUECKNER/TERRY L R</t>
  </si>
  <si>
    <t>LOT 13 WILSON &amp; JOHNSON SUBDIVISION</t>
  </si>
  <si>
    <t>OTTO/ANNA</t>
  </si>
  <si>
    <t>1510 JEFFERSON ST BELLEVUE NE 68005</t>
  </si>
  <si>
    <t>LOTS 10 &amp; 11 BLOCK 205 BELLEVUE</t>
  </si>
  <si>
    <t>MERCURY PROPERTY MANAGEMENT INC</t>
  </si>
  <si>
    <t>2218 FRANKLIN ST BELLEVUE NE 68005</t>
  </si>
  <si>
    <t>LOTS 4, 5 &amp; 6 BLOCK 181 BELLEVUE</t>
  </si>
  <si>
    <t>ALLEN/GERALD W &amp; DIANN M</t>
  </si>
  <si>
    <t>702 SHERMAN DR BELLEVUE NE 68005</t>
  </si>
  <si>
    <t>LOT 18 JEWELL DALE</t>
  </si>
  <si>
    <t>LIDDICK/VERDA M</t>
  </si>
  <si>
    <t>16501 CLAY ST BELLEVUE NE 68123</t>
  </si>
  <si>
    <t>S 54' OF VAC 3RD ST ADJ TO LOT 2 BLOCK 21 LA PLATTE</t>
  </si>
  <si>
    <t>VAN BRIESEN TIMOTHY D</t>
  </si>
  <si>
    <t>903 LOGAN AVE BELLEVUE NE 68005</t>
  </si>
  <si>
    <t>LOT 75 JEWELL TERRACE</t>
  </si>
  <si>
    <t>AL LOTS 1 - 11 BLOCK 1 FORT CROOK CITY</t>
  </si>
  <si>
    <t>LOTS 1-6 BLOCK 3 FORT CROOK CITY</t>
  </si>
  <si>
    <t>LOTS 20-26 BLOCK 3 FORT CROOK CITY</t>
  </si>
  <si>
    <t>LOTS 1-4 BLOCK 4 FORT CROOK CITY</t>
  </si>
  <si>
    <t>LOT 27 BLOCK 3 FORT CROOK CITY</t>
  </si>
  <si>
    <t>LOTS 5-12 BLOCK 4 FORT CROOK CITY</t>
  </si>
  <si>
    <t>TAX LOT C 2-13-13 (0.61 AC)</t>
  </si>
  <si>
    <t>LOTS 1-13 ZURCHER'S 1ST ADD TO FORT CROOK CITY</t>
  </si>
  <si>
    <t>RUBIO/ROBERT S &amp; MONICA E</t>
  </si>
  <si>
    <t>4311 HIKE CIR BELLEVUE NE 68123</t>
  </si>
  <si>
    <t>LOT 279 QUAIL CREEK</t>
  </si>
  <si>
    <t>EXPRESS FUNDING CORPORATION</t>
  </si>
  <si>
    <t>OUTLOT B QUAIL CREEK (2.345 AC)</t>
  </si>
  <si>
    <t>QUAIL CREEK COMPANY</t>
  </si>
  <si>
    <t>OUTLOT C QUAIL CREEK</t>
  </si>
  <si>
    <t>OUTLOT E QUAIL CREEK (2.246 AC)</t>
  </si>
  <si>
    <t>OUTLOT F QUAIL CREEK (1.557 AC)</t>
  </si>
  <si>
    <t>PART OF OUTLOT H QUAIL CREEK</t>
  </si>
  <si>
    <t>OUTLOT J QUAIL CREEK</t>
  </si>
  <si>
    <t>100 YEAR  HOMES INC</t>
  </si>
  <si>
    <t>903 MOORE DR BELLEVUE NE 68005</t>
  </si>
  <si>
    <t>LOT 56 WHISPERING TIMBER ESTATES</t>
  </si>
  <si>
    <t>PENNEY/SCOTT MICHAEL</t>
  </si>
  <si>
    <t>12506 CAPEHART RD SPRINGFIELD NE 68059</t>
  </si>
  <si>
    <t>LOT 1B SUBDIVISION OF LOT 1 OF W1/2 SE1/4 OF SECTION 6 T13N R12E OF THE 6TH P.M.</t>
  </si>
  <si>
    <t>SWITCH GEAR ENTERTAINMENT LLC</t>
  </si>
  <si>
    <t>601 CHATEAU DR BELLEVUE NE 68005</t>
  </si>
  <si>
    <t>TAX LOTS 6A1A &amp; 9A4A1 E OF ROW 26-14-13 (3.86 AC)</t>
  </si>
  <si>
    <t>LUELLMAN/FRED M &amp; KATHRYN E</t>
  </si>
  <si>
    <t>LOT 20B4 PLEASANT HILL OR MARTIN'S SUBDIVISION</t>
  </si>
  <si>
    <t>MORENO/MARIA F</t>
  </si>
  <si>
    <t>12802 S 9TH ST BELLEVUE NE 68123</t>
  </si>
  <si>
    <t>LOT 1A BUTTERFIELDS SUBDIVISION</t>
  </si>
  <si>
    <t>PETER/EILEEN P</t>
  </si>
  <si>
    <t>17323 IRIS CIR BELLEVUE NE 68123</t>
  </si>
  <si>
    <t>LOT 136 HANSON'S LAKES</t>
  </si>
  <si>
    <t>JACOBSEN/BARRY A &amp; DIANNE M</t>
  </si>
  <si>
    <t>2502 ANNABELLE DR BELLEVUE NE 68123</t>
  </si>
  <si>
    <t>LOT 82 HANSON'S LAKES</t>
  </si>
  <si>
    <t>2302 ANNABELLE DR BELLEVUE NE 68123</t>
  </si>
  <si>
    <t>LOT 76 HANSON'S LAKES</t>
  </si>
  <si>
    <t>VALENTI/BENJAMIN R</t>
  </si>
  <si>
    <t>12803 S 29TH ST BELLEVUE NE 68123</t>
  </si>
  <si>
    <t>LOT 114 LEAWOOD OAKS II</t>
  </si>
  <si>
    <t>PYZEL/DOUGLAS D</t>
  </si>
  <si>
    <t>12714 LILLIAN ST LA VISTA NE 68138</t>
  </si>
  <si>
    <t>LOT 40 MILLARD HIGHLANDS SOUTH</t>
  </si>
  <si>
    <t>PG 1 LLC</t>
  </si>
  <si>
    <t>9800 HUPP DR LA VISTA NE 68128</t>
  </si>
  <si>
    <t>LOT 5 CROSSROADS ADDITION</t>
  </si>
  <si>
    <t>FORT CROOK CAR WASH LLC</t>
  </si>
  <si>
    <t>LOT 201E NOB HILL REPLAT</t>
  </si>
  <si>
    <t>902 WILLOW AVE BELLEVUE NE 68005</t>
  </si>
  <si>
    <t>LOT 13 TWIN RIDGE III</t>
  </si>
  <si>
    <t>TWIN RIDGE II CONDOMINIUM ASSOC</t>
  </si>
  <si>
    <t>OUTLOT 1 TWIN RIDGE III (0.16 AC)</t>
  </si>
  <si>
    <t>WENTZ/PATRICIA</t>
  </si>
  <si>
    <t>14003 BARRETTS DR LA VISTA NE 68138</t>
  </si>
  <si>
    <t>LOT 236 THE MEADOWS REPLAT V</t>
  </si>
  <si>
    <t>TRUMBLE/TIMOTHY JAMES &amp; JULIE A</t>
  </si>
  <si>
    <t>TAX LOT 6A 36-13-11 (.86 AC) SPRINGFIELD</t>
  </si>
  <si>
    <t>TAX LOT 7A 36-13-11 (7.83 AC)</t>
  </si>
  <si>
    <t>2805 MADISON ST BELLEVUE NE 68005</t>
  </si>
  <si>
    <t>LOTS 3 &amp; 4 JOHNSON-THOMAS ADDITION</t>
  </si>
  <si>
    <t>VER STRAETE/MICHAEL</t>
  </si>
  <si>
    <t>OUTLOT A JOHNSON-THOMAS ADDITION</t>
  </si>
  <si>
    <t>RASMUSSEN/RICHARD A</t>
  </si>
  <si>
    <t>7814 LEAFPLUM DR LA VISTA NE 68128</t>
  </si>
  <si>
    <t>LOT 116 BRIARWOOD</t>
  </si>
  <si>
    <t>MOTT/BRENDA GAYLE</t>
  </si>
  <si>
    <t>7703 LEAFPLUM DR LA VISTA NE 68128</t>
  </si>
  <si>
    <t>LOT 98 BRIARWOOD</t>
  </si>
  <si>
    <t>CASTILLO/ERNESTO CASTILLO</t>
  </si>
  <si>
    <t>7733 WILLOW ST LA VISTA NE 68128</t>
  </si>
  <si>
    <t>LOT 88 BRIARWOOD</t>
  </si>
  <si>
    <t>7717 CHESTNUT ST LA VISTA NE 68128</t>
  </si>
  <si>
    <t>LOT 80 BRIARWOOD</t>
  </si>
  <si>
    <t>HANSEN/BRIAN W</t>
  </si>
  <si>
    <t>13949 GREENFIELD RD LA VISTA NE 68138</t>
  </si>
  <si>
    <t>LOT 51 THE MEADOWS REPLAT VIII</t>
  </si>
  <si>
    <t>TORRES/ESTELA</t>
  </si>
  <si>
    <t>14208 GREENFIELD RD LA VISTA NE 68138</t>
  </si>
  <si>
    <t>LOT 132 THE MEADOWS REPLAT V</t>
  </si>
  <si>
    <t>KAPFER/KIMBERLY</t>
  </si>
  <si>
    <t>8105 S 151ST AVE LA VISTA NE 68138</t>
  </si>
  <si>
    <t>LOT 42 ROCK CREEK REPLAT I</t>
  </si>
  <si>
    <t>NORTHWEST PROPERTIES LLC</t>
  </si>
  <si>
    <t>11226 RICHLAND DR PAPILLION NE 68138</t>
  </si>
  <si>
    <t>LOT 1B REPLAT OF LOT 1 BLOCK 1 WESTMONT</t>
  </si>
  <si>
    <t>SANSONE/ANTHONY A</t>
  </si>
  <si>
    <t>11809 S 33RD ST BELLEVUE NE 68123</t>
  </si>
  <si>
    <t>LOT 11 GRANADA II</t>
  </si>
  <si>
    <t>LOYA/MARTIN MOYA</t>
  </si>
  <si>
    <t>2209 COVENTRY DR BELLEVUE NE 68123</t>
  </si>
  <si>
    <t>LOT 187 STONECROFT</t>
  </si>
  <si>
    <t>S 30 FT OF PT LOT 10B1 FAIR HILL ADDITION</t>
  </si>
  <si>
    <t>WOODYERD/MARK E</t>
  </si>
  <si>
    <t>711 WILLOW AVE BELLEVUE NE 68005</t>
  </si>
  <si>
    <t>LOT 31 TWIN RIDGE V</t>
  </si>
  <si>
    <t>CHLADEK/BRIAN L</t>
  </si>
  <si>
    <t>12602 FAIRVIEW CT SPRINGFIELD NE 68059</t>
  </si>
  <si>
    <t>LOT 3 REPLAT OF LOTS 8, 9 &amp; 10 FAIRVIEW HEIGHTS (2.64 AC)</t>
  </si>
  <si>
    <t>OUTLOT A HIDDEN HILLS (0.33 AC)</t>
  </si>
  <si>
    <t>FREEMAN COMPANY INC, TRUSTEE</t>
  </si>
  <si>
    <t>LOT 93B FONTENELLE</t>
  </si>
  <si>
    <t>LOT 94C FONTENELLE</t>
  </si>
  <si>
    <t>ORCHARD VALLEY INC</t>
  </si>
  <si>
    <t>OUTLOT B GREEN MEADOWS (0.33 AC)</t>
  </si>
  <si>
    <t>DMI HOLDINGS LLC</t>
  </si>
  <si>
    <t>312 PROSPECT DR PAPILLION NE 68046</t>
  </si>
  <si>
    <t>LOT 43 OVERLAND HILLS II</t>
  </si>
  <si>
    <t>BELLINO DONALD J</t>
  </si>
  <si>
    <t>2108 GLENWOOD AVE PAPILLION NE 68046</t>
  </si>
  <si>
    <t>LOT 158 GLENWOOD HILLS</t>
  </si>
  <si>
    <t>PERRY/JOHN S &amp; SHIRLEY L</t>
  </si>
  <si>
    <t>3703 PINEHILL RD BELLEVUE NE 68123</t>
  </si>
  <si>
    <t>LOT 282 FALCON FOREST</t>
  </si>
  <si>
    <t>VINTAGE MANAGEMENT LLC</t>
  </si>
  <si>
    <t>LOT 177 FALCON FOREST</t>
  </si>
  <si>
    <t>12916 CHANDLER ST LA VISTA NE 68138</t>
  </si>
  <si>
    <t>LOT 41 MILLARD HIGHLANDS SOUTH 2ND PLATTING</t>
  </si>
  <si>
    <t>12946 MARGO ST LA VISTA NE 68138</t>
  </si>
  <si>
    <t>LOT 12 MILLARD HIGHLANDS SOUTH 2ND PLATTING</t>
  </si>
  <si>
    <t>STAMBAUGH/JANICE LEE</t>
  </si>
  <si>
    <t>2609 HARRISON ST BELLEVUE NE 68147</t>
  </si>
  <si>
    <t>LOT 8B ARMOURDALE</t>
  </si>
  <si>
    <t>WARNKE/JANN C</t>
  </si>
  <si>
    <t>612 E CARY ST PAPILLION NE 68046</t>
  </si>
  <si>
    <t>LOT 91 HICKORY HILL</t>
  </si>
  <si>
    <t>EVERS/STEVEN R</t>
  </si>
  <si>
    <t>606 PIONEER RD PAPILLION NE 68046</t>
  </si>
  <si>
    <t>LOT 103 OVERLAND HILLS III</t>
  </si>
  <si>
    <t>602 PIONEER RD PAPILLION NE 68046</t>
  </si>
  <si>
    <t>LOT 101 OVERLAND HILLS III</t>
  </si>
  <si>
    <t>PENKE/JASON R</t>
  </si>
  <si>
    <t>506 LAREDO RD PAPILLION NE 68046</t>
  </si>
  <si>
    <t>LOT 57 OVERLAND HILLS III</t>
  </si>
  <si>
    <t>304 LAREDO RD PAPILLION NE 68046</t>
  </si>
  <si>
    <t>LOT 44 OVERLAND HILLS III</t>
  </si>
  <si>
    <t>KRISTENELLI/SUSAN L</t>
  </si>
  <si>
    <t>13607 EMILINE CIR LA VISTA NE 68138</t>
  </si>
  <si>
    <t>LOT 10 MILLARD HIGHLANDS SOUTH II</t>
  </si>
  <si>
    <t>STAMBAUGH JANICE L</t>
  </si>
  <si>
    <t>2611 HARRISON ST BELLEVUE NE 68147</t>
  </si>
  <si>
    <t>LOT 8A ARMOURDALE</t>
  </si>
  <si>
    <t>HAUG/GEOFFREY W</t>
  </si>
  <si>
    <t>7206 S 150TH ST LA VISTA NE 68138</t>
  </si>
  <si>
    <t>LOT 173 WILLOW CREEK REPLAT I</t>
  </si>
  <si>
    <t>ROWAN/JOHN J</t>
  </si>
  <si>
    <t>14622 BORMAN ST LA VISTA NE 68138</t>
  </si>
  <si>
    <t>LOT 82 WILLOW CREEK REPLAT I</t>
  </si>
  <si>
    <t>NOVY/ROWENA L</t>
  </si>
  <si>
    <t>3108 SCHUEMANN DR BELLEVUE NE 68123</t>
  </si>
  <si>
    <t>LOT 44 LOOKINGGLASS HEIGHTS II</t>
  </si>
  <si>
    <t>VILLONE/THOMAS</t>
  </si>
  <si>
    <t>LOT 1B LOOKINGGLASS HEIGHTS</t>
  </si>
  <si>
    <t>WINTER QUARTERS JOINT VENTURE</t>
  </si>
  <si>
    <t>10598 S 252ND ST WATERLOO NE 68069</t>
  </si>
  <si>
    <t>TAX LOT C 29-14-10 (45.08 AC)</t>
  </si>
  <si>
    <t>HARRISON/JAMES &amp; LINDA M</t>
  </si>
  <si>
    <t>LOT 77B JEWELL TERRACE</t>
  </si>
  <si>
    <t>TRIGGS/GREGORY</t>
  </si>
  <si>
    <t>OUTLOT A, EX N 130.96', CEDARWOODS (0.73 AC)</t>
  </si>
  <si>
    <t>OUTLOT B , EX N 17', CEDARWOODS (2.51 AC)</t>
  </si>
  <si>
    <t>N 113.96' OF OUTLOT A CEDARWOODS (0.27 AC)</t>
  </si>
  <si>
    <t>802 JUNIPER DR PAPILLION NE 68046</t>
  </si>
  <si>
    <t>LOT 51 CEDARWOODS</t>
  </si>
  <si>
    <t>ALEXANDER/HEATH &amp; MEGUMI</t>
  </si>
  <si>
    <t>1206 PATRICIA DR PAPILLION NE 68046</t>
  </si>
  <si>
    <t>LOT 28 CEDARWOODS</t>
  </si>
  <si>
    <t>TWIN RIDGE II ASSOCIATION INC</t>
  </si>
  <si>
    <t>LOTS 5B &amp; 6B EVERGREEN</t>
  </si>
  <si>
    <t>ROMERO/DORILA H</t>
  </si>
  <si>
    <t>1015 DENVER ST BELLEVUE NE 68005</t>
  </si>
  <si>
    <t>LOT 7 SOUTHWOODS II</t>
  </si>
  <si>
    <t>BRADEN/SCOTT V</t>
  </si>
  <si>
    <t>2617 CITTA DR BELLEVUE NE 68147</t>
  </si>
  <si>
    <t>LOTS 30A &amp; A2B HAROLD SQUARE &amp; TAX LOT 13A2B2B 21-14-13 (.02 AC)</t>
  </si>
  <si>
    <t>PINE RIDGE PARTNERSHIP</t>
  </si>
  <si>
    <t>TAX LOT 14A1A 4-13-13 (0.05 AC)</t>
  </si>
  <si>
    <t>BELLINO CAPITAL LLC</t>
  </si>
  <si>
    <t>PT LOT 164A TARA HILLS</t>
  </si>
  <si>
    <t>WILSON/ANTHONY M &amp; DEANNA M</t>
  </si>
  <si>
    <t>14325 S 34TH ST BELLEVUE NE 68123</t>
  </si>
  <si>
    <t>LOT 78 TWO SPRINGS</t>
  </si>
  <si>
    <t>LOT 79 TWO SPRINGS</t>
  </si>
  <si>
    <t>EDMONDS/LORELEI E &amp; TREVOR D</t>
  </si>
  <si>
    <t>3115 MARLENE LN BELLEVUE NE 68123</t>
  </si>
  <si>
    <t>LOT 146 TWO SPRINGS</t>
  </si>
  <si>
    <t>LOTS 4 &amp; 5 BLOCK 1 FIRST ADDITION TO RANDOLPH PLACE TO SOUTH OMAHA</t>
  </si>
  <si>
    <t xml:space="preserve">LOTS 6  7A &amp; 10 BLOCK 1 FIRST ADDITION TO RANDOLPH PLACE </t>
  </si>
  <si>
    <t>OVERLAND WOLF INC</t>
  </si>
  <si>
    <t>SW7.51' LOT 52 THE MEADOWS REPLAT II</t>
  </si>
  <si>
    <t>FLORES/ALMA F</t>
  </si>
  <si>
    <t>4822 BORMAN ST BELLEVUE NE 68157</t>
  </si>
  <si>
    <t>LOT 64 SOUTHFORK</t>
  </si>
  <si>
    <t>FOXLEY PARTNERSHIP, ETAL</t>
  </si>
  <si>
    <t>TAX LOT 9 34-14-13 (.92 AC)</t>
  </si>
  <si>
    <t>9404 SANS ARC DR GRETNA NE 68028</t>
  </si>
  <si>
    <t>LOT 4B POINT SANS ARC (3.96 AC)</t>
  </si>
  <si>
    <t>IRREG SE 10.21 AC OF TAX LOT 12 22-14-13 (10.21 AC)</t>
  </si>
  <si>
    <t>TAX LOTS 13 &amp; 14 E OF HWY 75 3-13-13 (108.67 AC)</t>
  </si>
  <si>
    <t>CONCRETE 911 LLC</t>
  </si>
  <si>
    <t>11617 S 216TH ST GRETNA NE 68028</t>
  </si>
  <si>
    <t>TAX LOT 19 36-14-10 (0.54 AC)</t>
  </si>
  <si>
    <t>MY FUTURE LIVING LLC</t>
  </si>
  <si>
    <t>1210 FRONT ST BELLEVUE NE 68005</t>
  </si>
  <si>
    <t>LOTS 7-12 BLOCK 2 BELLEVUE (1.41 AC)</t>
  </si>
  <si>
    <t>11603 S 216TH ST GRETNA NE 68028</t>
  </si>
  <si>
    <t>TAX LOT D1A2 36-14-10 (3.20 AC)</t>
  </si>
  <si>
    <t>LOT 15 BLOCK 1 FIRST ADDITION TO RANDOLPH PLACE TO SOUTH OMAHA</t>
  </si>
  <si>
    <t>END OF THE ROAD LLC</t>
  </si>
  <si>
    <t>LOT 22A1A2 ALPINE VILLAGE SOUTH EXC PT DEDICATED IN MISC BK 52 PG 441 FOR PUBLIC ROW (.19 AC)</t>
  </si>
  <si>
    <t>KOVACH/PETER</t>
  </si>
  <si>
    <t>N 14 FT LOT 12 BLOCK 111 BELLEVUE</t>
  </si>
  <si>
    <t>TAX LOT 18 13-14-11 (1.19 AC)</t>
  </si>
  <si>
    <t>8202 ARMSTRONG CIR BELLEVUE NE 68147</t>
  </si>
  <si>
    <t>LOT 4 ARMSTRONG'S ADDITION</t>
  </si>
  <si>
    <t>8205 ARMSTRONG CIR BELLEVUE NE 68147</t>
  </si>
  <si>
    <t>LOTS 5 &amp; 6  ARMSTRONG'S ADDITION</t>
  </si>
  <si>
    <t>8209 ARMSTRONG CIR BELLEVUE NE 68147</t>
  </si>
  <si>
    <t>LOTS 7 &amp; 8 ARMSTRONG'S ADDITION</t>
  </si>
  <si>
    <t>8215 ARMSTRONG CIR BELLEVUE NE 68147</t>
  </si>
  <si>
    <t>LOT 9 ARMSTRONG'S ADDITION</t>
  </si>
  <si>
    <t>8219 ARMSTRONG CIR BELLEVUE NE 68147</t>
  </si>
  <si>
    <t>LOT 10 ARMSTRONG'S ADDITION</t>
  </si>
  <si>
    <t>4938 ROBIN DR BELLEVUE NE 68157</t>
  </si>
  <si>
    <t>LOTS 19, 20 &amp; 21 SOUTHERN PARK ADDITION</t>
  </si>
  <si>
    <t>LEAWOOD OAKS TOWNHOMES OWNERS ASSOC</t>
  </si>
  <si>
    <t>LOT 30 LEAWOOD OAKS TOWNHOMES</t>
  </si>
  <si>
    <t>RAZAMAZOVA/MASHA S</t>
  </si>
  <si>
    <t>2823 GERTRUDE ST BELLEVUE NE 68147</t>
  </si>
  <si>
    <t>LOT 2 KRELL SUBDIVISION</t>
  </si>
  <si>
    <t>GUSTAFSON/CLARA F</t>
  </si>
  <si>
    <t>8110 S 32ND ST BELLEVUE NE 68147</t>
  </si>
  <si>
    <t>S1/2 LOT 27 &amp; S 75 FT OF N 1/2 LOT 27 PLEASANT HILL OR MARTIN'S SUBDIVISION (3.60 AC)</t>
  </si>
  <si>
    <t>TUCKSON/STANLEY E &amp; DOLORES C</t>
  </si>
  <si>
    <t>10011 S 11TH ST BELLEVUE NE 68123</t>
  </si>
  <si>
    <t>LOT 13 AVERY HILLS</t>
  </si>
  <si>
    <t>LEON/MAXIMINO LOPEZ</t>
  </si>
  <si>
    <t>10109 S 14TH ST BELLEVUE NE 68123</t>
  </si>
  <si>
    <t>LOT 45 AVERY HILLS</t>
  </si>
  <si>
    <t>MAGIC EXPRESS LLC</t>
  </si>
  <si>
    <t>10555 SCHRAM RD PAPILLION NE 68046</t>
  </si>
  <si>
    <t>TAX LOTS 3A &amp; 3B1 &amp; VAC E1/2 TURKEY RD ADJ 4-13-12 (34.85 AC)</t>
  </si>
  <si>
    <t>KIND EYES LLC</t>
  </si>
  <si>
    <t>988 BURNS PL GRETNA NE 68028</t>
  </si>
  <si>
    <t>LOT B4C1 SUBDIVISION OF FRACTIONAL LOT B4 (2.70 AC)</t>
  </si>
  <si>
    <t>BUTLER/DANIEL &amp; JANET</t>
  </si>
  <si>
    <t>13445 OLIVE ST LA VISTA NE 68138</t>
  </si>
  <si>
    <t>LOT 55 SOUTHRIDGE</t>
  </si>
  <si>
    <t>KUPER/JACQUELINE J</t>
  </si>
  <si>
    <t>OUTLOT A SOUTHRIDGE</t>
  </si>
  <si>
    <t>CERMAK/JAMES F</t>
  </si>
  <si>
    <t>13448 JOSEPHINE ST LA VISTA NE 68138</t>
  </si>
  <si>
    <t>LOT 514 MILLARD HIGHLANDS SOUTH III</t>
  </si>
  <si>
    <t>DABEERS PROPERTIES LLC</t>
  </si>
  <si>
    <t>17512 STORAGE RD OMAHA NE 68136</t>
  </si>
  <si>
    <t>UNIT 10 LITE INDUSTRIAL LIMITED CONDO PARK A CONDOMINIUM</t>
  </si>
  <si>
    <t>BEAR HOMES PC</t>
  </si>
  <si>
    <t>12002 S 168TH ST GRETNA NE 68028</t>
  </si>
  <si>
    <t>TAX LOT F EXC ROW 4-13-11 (26.28 AC)</t>
  </si>
  <si>
    <t>RIGGS/ROBERT G &amp; STEPHANIE K</t>
  </si>
  <si>
    <t>4942 COPPER HILL DR BELLEVUE NE 68157</t>
  </si>
  <si>
    <t>LOT 100 COPPER CREEK</t>
  </si>
  <si>
    <t>SHELDRICK GINA R</t>
  </si>
  <si>
    <t>1004 HICKORY HILL RD PAPILLION NE 68046</t>
  </si>
  <si>
    <t>LOT 66 HICKORY HILL II</t>
  </si>
  <si>
    <t>YENOMOM HAVASU LLC</t>
  </si>
  <si>
    <t>2510 JOSEPHINE ST BELLEVUE NE 68147</t>
  </si>
  <si>
    <t>LOT 1 FOSTER'S FIRST ADDITION</t>
  </si>
  <si>
    <t>SONGSTER/CHERYL KOTERZINA</t>
  </si>
  <si>
    <t>12712 EMILINE ST LA VISTA NE 68138</t>
  </si>
  <si>
    <t>LOT 589 MILLARD HIGHLANDS SOUTH REPLAT IV</t>
  </si>
  <si>
    <t>ARCHS GRANDSON LLC</t>
  </si>
  <si>
    <t>7001 AUDREY ST LA VISTA NE 68138</t>
  </si>
  <si>
    <t>LOT 597 MILLARD HIGHLANDS SOUTH REPLAT IV</t>
  </si>
  <si>
    <t>BLACKBURN/BRIAN P &amp; MELISSA K</t>
  </si>
  <si>
    <t>7209 AUDREY ST LA VISTA NE 68138</t>
  </si>
  <si>
    <t>LOT 612 MILLARD HIGHLANDS SOUTH REPLAT IV</t>
  </si>
  <si>
    <t>ANDRICK MICHAEL</t>
  </si>
  <si>
    <t>7842 ASPEN CT LA VISTA NE 68128</t>
  </si>
  <si>
    <t>LOT 182 ARDMORE</t>
  </si>
  <si>
    <t>LUND/JENNIFER</t>
  </si>
  <si>
    <t>813 AUBURN LN PAPILLION NE 68046</t>
  </si>
  <si>
    <t>LOT 192 HICKORY HILL II</t>
  </si>
  <si>
    <t>BELL/VICTORIA ASHLEY</t>
  </si>
  <si>
    <t>LOT B2B HAROLD SQUARE</t>
  </si>
  <si>
    <t>WASZGIS MICHAEL P</t>
  </si>
  <si>
    <t>11410 S 44TH AVENUE CIR BELLEVUE NE 68123</t>
  </si>
  <si>
    <t>LOT 89 FAIRVIEW</t>
  </si>
  <si>
    <t>SARPY COUNTY &amp; CITIES WASTEWATER AGENCY</t>
  </si>
  <si>
    <t>ABANDONED RAILROAD 24-13-11 (3.42 AC)</t>
  </si>
  <si>
    <t>HILL/RONALD D</t>
  </si>
  <si>
    <t>LOT 2B GREGG ROAD PLACE REPLAT I</t>
  </si>
  <si>
    <t>CASCIO JR/LARRY T</t>
  </si>
  <si>
    <t>LOT 2 CORNELISON ADDITION (1.41 AC)</t>
  </si>
  <si>
    <t>PASSION LLC</t>
  </si>
  <si>
    <t>LOT 1 SARPY HEIGHTS II EX W1' OF N1' (5.76 AC)</t>
  </si>
  <si>
    <t>BELLINO CEDARDALE PROPERTY LLC</t>
  </si>
  <si>
    <t>LOT 3 CEDARDALE INDUSTRIAL PARK</t>
  </si>
  <si>
    <t>1150 PROPERTIES LLC</t>
  </si>
  <si>
    <t>1150 APPLEWOOD DR PAPILLION NE 68046</t>
  </si>
  <si>
    <t>LOT 22, EX ROW, CEDARDALE INDUSTRIAL PARK</t>
  </si>
  <si>
    <t>OUTLOT A CEDARDALE INDUSTRIAL PARK</t>
  </si>
  <si>
    <t>OUTLOT B CEDARDALE INDUSTRIAL PARK</t>
  </si>
  <si>
    <t>OUTLOT C CEDARDALE INDUSTRIAL PARK</t>
  </si>
  <si>
    <t>HOLIDAY MOTEL PARTNERS</t>
  </si>
  <si>
    <t>LOT 4 HIGH SCHOOL VIEW</t>
  </si>
  <si>
    <t>LOT 5 HIGH SCHOOL VIEW</t>
  </si>
  <si>
    <t>1008 HOGAN DR PAPILLION NE 68046</t>
  </si>
  <si>
    <t>LOT 172 SUMMERFIELD REPLAT</t>
  </si>
  <si>
    <t>MIXAN/PAUL &amp; ROBERTA</t>
  </si>
  <si>
    <t>LOT 1 MIXAN REPLAT</t>
  </si>
  <si>
    <t>JAY BAVAJI LLC</t>
  </si>
  <si>
    <t>303 FORT CROOK RD S BELLEVUE NE 68005</t>
  </si>
  <si>
    <t>LOT 1 HARVEL PLAZA 1ST ADDITION</t>
  </si>
  <si>
    <t>HUGHBANKS PROPERTIES XXVII LLC</t>
  </si>
  <si>
    <t>16122 S 87TH ST PAPILLION NE 68046</t>
  </si>
  <si>
    <t>TAX LOT 7 23-13-12 (20.00 AC)</t>
  </si>
  <si>
    <t>GONZALEZ/JUAN &amp; BERTHA</t>
  </si>
  <si>
    <t>3302 MONTREAL DR BELLEVUE NE 68123</t>
  </si>
  <si>
    <t>LOT 44 OAKRIDGE</t>
  </si>
  <si>
    <t>TAX LOT 6A 17-14-13 (.59 AC)</t>
  </si>
  <si>
    <t>MONTELONGO/JOE H &amp; PATTI Y</t>
  </si>
  <si>
    <t>1901 GROVE RD BELLEVUE NE 68005</t>
  </si>
  <si>
    <t>LOT 2 GRINNELL'S ADDITION</t>
  </si>
  <si>
    <t>JOCHIM PRECAST CONCRETE CO</t>
  </si>
  <si>
    <t>LOT 1 JOCHIM'S FIRST ADDITION</t>
  </si>
  <si>
    <t>MIDLAND TRUST COMPANY</t>
  </si>
  <si>
    <t>10606 S 17TH ST BELLEVUE NE 68123</t>
  </si>
  <si>
    <t>LOT 344 WILLOW SPRINGS</t>
  </si>
  <si>
    <t>LEWIS TANAYA</t>
  </si>
  <si>
    <t>11707 S 26TH AVE BELLEVUE NE 68123</t>
  </si>
  <si>
    <t>LOT 81 CASTLE RIDGE</t>
  </si>
  <si>
    <t>KOUBA ESTATE, ANNE</t>
  </si>
  <si>
    <t>S 6 FT LOT 8 &amp; N 4 FT LOT 9 BLOCK 328 BELLEVUE&amp; E 8 FT VAC ALLEY ADJ</t>
  </si>
  <si>
    <t>TAX LOT R7 24-13-11 (0.40 AC)</t>
  </si>
  <si>
    <t>LOT 154B HIGHVIEW ADDITION TO SPRINGFIELD (2.02 AC)</t>
  </si>
  <si>
    <t>BLAZKA/JOHN P &amp; JAIMIE L</t>
  </si>
  <si>
    <t>901 MACKENSEY DR PAPILLION NE 68046</t>
  </si>
  <si>
    <t>LOT 105 HICKORY ESTATES</t>
  </si>
  <si>
    <t>CAMERON/CAMERON C</t>
  </si>
  <si>
    <t>8134 S 69TH ST LA VISTA NE 68128</t>
  </si>
  <si>
    <t>LOT 67 ARDMORE EAST</t>
  </si>
  <si>
    <t>LOT 2 EX S100' BOHAC ADDITION</t>
  </si>
  <si>
    <t>S100' LOT 2 BOHAC ADDITION</t>
  </si>
  <si>
    <t>DESIGN CONSTRUCT, INC</t>
  </si>
  <si>
    <t>OUTLOT A ECHO HILLS REPLAT 2 (0.26 AC)</t>
  </si>
  <si>
    <t>MCMILLAN/MATTHEW P &amp; KAREN M</t>
  </si>
  <si>
    <t>309 PHEASANT RUN LN PAPILLION NE 68046</t>
  </si>
  <si>
    <t>LOT 9 HUNTERS CROSSING 3RD ADDITION</t>
  </si>
  <si>
    <t>HUNTERS CROSSING INC</t>
  </si>
  <si>
    <t>OUTLOTS 1,2 &amp; 4 HUNTERS CROSSING 3RD ADDITION (7.02 AC)</t>
  </si>
  <si>
    <t>MCFARLING/GEORGE &amp; JEANETTE R</t>
  </si>
  <si>
    <t>OUTLOTS C &amp; D LYMAN HYLANDS (0.44 AC)</t>
  </si>
  <si>
    <t>MOHR/ROBERT W</t>
  </si>
  <si>
    <t>OUTLOT 3 HUNTERS CROSSING 3RD ADDITION (0.89 AC)</t>
  </si>
  <si>
    <t>TREGARON LTD PARTNERSHIP</t>
  </si>
  <si>
    <t>OUTLOT A TREGARON</t>
  </si>
  <si>
    <t>HUMMEL/WILLIAM D &amp; HOLLY A</t>
  </si>
  <si>
    <t>11850 S 202ND CIR GRETNA NE 68028</t>
  </si>
  <si>
    <t>LOT 9 FOREST RUN (1.00 AC)</t>
  </si>
  <si>
    <t>HUNTEL CABLEVISION INC</t>
  </si>
  <si>
    <t>3530 W CHANDLER RD BELLEVUE NE 68147</t>
  </si>
  <si>
    <t>LOT 4 CHANDLER PLAZA</t>
  </si>
  <si>
    <t>TWIN CREEK LP</t>
  </si>
  <si>
    <t>OUTLOT 1 TWINCREEK PLAZA (1.87 AC)</t>
  </si>
  <si>
    <t>JARDON/MAX &amp; MOYRA</t>
  </si>
  <si>
    <t>W20' OF N50' LOT 1 BALLENA</t>
  </si>
  <si>
    <t>BUSSE/HARRIET E</t>
  </si>
  <si>
    <t>3111 LONE TREE RD BELLEVUE NE 68123</t>
  </si>
  <si>
    <t>LOT 45 OAKRIDGE EAST</t>
  </si>
  <si>
    <t>SHORE/SHARON R</t>
  </si>
  <si>
    <t>13516 S 31ST ST BELLEVUE NE 68123</t>
  </si>
  <si>
    <t>LOT 90 OAKRIDGE EAST</t>
  </si>
  <si>
    <t>CLARK/BARRY D &amp; DIANE J</t>
  </si>
  <si>
    <t>22655 CARY RD GRETNA NE 68028</t>
  </si>
  <si>
    <t>LOT 1 VAN BUREN ACRES (9.28 AC)</t>
  </si>
  <si>
    <t>CHARLES/ANNA</t>
  </si>
  <si>
    <t>17413 EDNA CIR OMAHA NE 68136</t>
  </si>
  <si>
    <t>LOT 46 HICKORY RIDGE</t>
  </si>
  <si>
    <t>ASPROPERTIES LLC</t>
  </si>
  <si>
    <t>6922 S 176TH AVE OMAHA NE 68136</t>
  </si>
  <si>
    <t>LOT 224 HICKORY RIDGE</t>
  </si>
  <si>
    <t>EVANS/TARA W</t>
  </si>
  <si>
    <t>2705 JOSEPHINE ST BELLEVUE NE 68147</t>
  </si>
  <si>
    <t>LOT 1 HABITAT FOR HUMANITY ADDITION</t>
  </si>
  <si>
    <t>MIKE HOGAN DEV CO</t>
  </si>
  <si>
    <t>OUTLOT A WOLF CREEK (8.65AC)</t>
  </si>
  <si>
    <t>MITCHELL HOLDINGS LLC</t>
  </si>
  <si>
    <t>4115 TWIN CREEK DR BELLEVUE NE 68123</t>
  </si>
  <si>
    <t>LOT 1 TWINCREEK PLAZA REPLAT I</t>
  </si>
  <si>
    <t>MANN/MARK W &amp; KATHRYN A</t>
  </si>
  <si>
    <t>TAX LOT 2A2A 10-13-12 (24.47 AC)</t>
  </si>
  <si>
    <t>NORMANDY ONE LLC</t>
  </si>
  <si>
    <t>13305 S 20TH ST BELLEVUE NE 68123</t>
  </si>
  <si>
    <t>LOT 8 VILLAGE GREEN</t>
  </si>
  <si>
    <t>TAX LOT R-1 10-13-13 (0.12 AC)</t>
  </si>
  <si>
    <t>PEREZ/JACINTO</t>
  </si>
  <si>
    <t>2614 MORRIE DR BELLEVUE NE 68123</t>
  </si>
  <si>
    <t>LOT 248 SUNRISE ADDITION</t>
  </si>
  <si>
    <t>NUNEZ/SHIDARTA J ARZOLA</t>
  </si>
  <si>
    <t>2701 MORRIE DR BELLEVUE NE 68123</t>
  </si>
  <si>
    <t>LOT 259 SUNRISE ADDITION</t>
  </si>
  <si>
    <t>WINKLER/CARL E &amp; DIANE K</t>
  </si>
  <si>
    <t>1120 DELMAR ST, UNIT 6G PAPILLION NE 68046</t>
  </si>
  <si>
    <t>UNIT 6G MONARCH GROVE CONDOMINIUM PROPERTY REGIME</t>
  </si>
  <si>
    <t>THE RAILS CO INC</t>
  </si>
  <si>
    <t>PT LOTS 7-12 BLOCK 2 &amp; PT LOTS 7-12 BLOCK 3 &amp; PT LOTS 7-12 BLOCK 4 ANDERSON'S ADDITION (2.01)</t>
  </si>
  <si>
    <t>K &amp; M HOMES INC</t>
  </si>
  <si>
    <t>14514 S 29TH CIR BELLEVUE NE 68123</t>
  </si>
  <si>
    <t>LOT 112 PIPERS GLEN</t>
  </si>
  <si>
    <t>TAX LOT 11 14-13-12 (46.81 AC)</t>
  </si>
  <si>
    <t>SOUTHWIND LAND CORP</t>
  </si>
  <si>
    <t>OUTLOT A SOUTHWIND TWO (3.62 AC)</t>
  </si>
  <si>
    <t>LYW LLC</t>
  </si>
  <si>
    <t>17852 JOSEPHINE ST OMAHA NE 68136</t>
  </si>
  <si>
    <t>LOT 445 HICKORY RIDGE</t>
  </si>
  <si>
    <t>ARCH'S GRANDSON LLC</t>
  </si>
  <si>
    <t>17828 EDNA ST OMAHA NE 68136</t>
  </si>
  <si>
    <t>LOT 529 HICKORY RIDGE</t>
  </si>
  <si>
    <t>SHANNON ROBERT E &amp; BARBARA A</t>
  </si>
  <si>
    <t>15802 TIMBERLANE DR OMAHA NE 68136</t>
  </si>
  <si>
    <t>LOT 496 MILLARD PARK</t>
  </si>
  <si>
    <t>HOHENTHANER SCOTT MICHAEL</t>
  </si>
  <si>
    <t>9923 S 170TH CIR OMAHA NE 68136</t>
  </si>
  <si>
    <t>SUBLOT 6 FAIRWAY POINTE II REPLAT I</t>
  </si>
  <si>
    <t>CURLIS/DENISE A</t>
  </si>
  <si>
    <t>8201 S 107TH ST LA VISTA NE 68128</t>
  </si>
  <si>
    <t>LOT 143 VAL VISTA</t>
  </si>
  <si>
    <t>STEIER/DAVID</t>
  </si>
  <si>
    <t>8111 S 107TH ST LA VISTA NE 68128</t>
  </si>
  <si>
    <t>LOT 150 VAL VISTA</t>
  </si>
  <si>
    <t>KREIFELS SCOTT</t>
  </si>
  <si>
    <t>17301 GATE DR BELLEVUE NE 68123</t>
  </si>
  <si>
    <t>LOT 7 BETTY LAKE TRI LAKES ADDITION</t>
  </si>
  <si>
    <t>OUTLOT 7 BETTY LAKE TRI LAKES ADDITION</t>
  </si>
  <si>
    <t>HEARTHSTONE HOMES INC</t>
  </si>
  <si>
    <t>OUTLOT A NORTHRIDGE ESTATES</t>
  </si>
  <si>
    <t>GLAMIS LLC</t>
  </si>
  <si>
    <t>IRREG E 49.91 FT OF S 13.28 FT OF LOT 4 COMMERCE BUSINESS CENTRE (.02 AC)</t>
  </si>
  <si>
    <t>VILLA SPRINGS REPLAT NO 1</t>
  </si>
  <si>
    <t>OUTLOT B VILLA SPRINGS REPLAT 1 (POND DIKE)</t>
  </si>
  <si>
    <t>THE CITY OF BELLEVUE NEBRASKA</t>
  </si>
  <si>
    <t>2206 LONGO DR BELLEVUE NE 68005</t>
  </si>
  <si>
    <t>LOTS 2, 3 &amp; 7-9 HARVELL PLAZA 3RD ADDITION</t>
  </si>
  <si>
    <t>REUTER/CHRIS F</t>
  </si>
  <si>
    <t>12905 S 223RD ST GRETNA NE 68028</t>
  </si>
  <si>
    <t>LOT 2 SOUTHGATE ESTATES REPLAT 1 (3.00 AC)</t>
  </si>
  <si>
    <t>STEPHAN/HELEN JULIA M</t>
  </si>
  <si>
    <t>1118 WOODVIEW CIR PAPILLION NE 68046</t>
  </si>
  <si>
    <t>LOT 72 WALNUT CREEK HILLS</t>
  </si>
  <si>
    <t>MAWAWA BEATRICE BIONGO BIA</t>
  </si>
  <si>
    <t>1710 DIANE ST PAPILLION NE 68046</t>
  </si>
  <si>
    <t>LOT 126 WALNUT CREEK HILLS</t>
  </si>
  <si>
    <t>HARRISON CHRISTOPHER G</t>
  </si>
  <si>
    <t>LOT 7 BEACON VIEW #1</t>
  </si>
  <si>
    <t>RAINEY/MARIA F</t>
  </si>
  <si>
    <t>6911 S 27TH ST BELLEVUE NE 68147</t>
  </si>
  <si>
    <t>LOT 2 ARMOURDALE REPLAT I</t>
  </si>
  <si>
    <t>GOSLAWSKI/LENORE</t>
  </si>
  <si>
    <t>7510 S 173RD ST OMAHA NE 68136</t>
  </si>
  <si>
    <t>SUBLOT 13 OF LOT 164 HARRISON WOODS</t>
  </si>
  <si>
    <t>STROUD/MARK</t>
  </si>
  <si>
    <t>LOT 49A MILLARD HIGHLANDS SOUTH</t>
  </si>
  <si>
    <t>GOMEZ/JOHNNY RAY &amp; MARYANN C</t>
  </si>
  <si>
    <t>7005 S 74TH ST, APT 306 LA VISTA NE 68128</t>
  </si>
  <si>
    <t>UNIT 306 HERITAGE CONDOMINIUM PROPERTY REGIME</t>
  </si>
  <si>
    <t>MOHR/DARREN &amp; KATE</t>
  </si>
  <si>
    <t>OUTLOT 307B TIBURON REPLAT VII</t>
  </si>
  <si>
    <t>TACK/CHARLES L</t>
  </si>
  <si>
    <t>OUTLOT 308B TIBURON REPLAT VII</t>
  </si>
  <si>
    <t>OUTLOT 1 WINDSTONE (0.11 AC)</t>
  </si>
  <si>
    <t>ALEXANDER/TERESA</t>
  </si>
  <si>
    <t>1010 EDWARD ST PAPILLION NE 68046</t>
  </si>
  <si>
    <t>LOT 1A WALNUT CREEK HILLS REPLAT NINE</t>
  </si>
  <si>
    <t>FLORES PROPERTIES ONE LLC</t>
  </si>
  <si>
    <t>15848 REDWOOD ST OMAHA NE 68136</t>
  </si>
  <si>
    <t>LOT 1 SPRINGHILL</t>
  </si>
  <si>
    <t>15812 REDWOOD ST LLC</t>
  </si>
  <si>
    <t>15812 REDWOOD ST OMAHA NE 68136</t>
  </si>
  <si>
    <t>LOT 10 SPRINGHILL</t>
  </si>
  <si>
    <t>MCCARTHY/JAMES C &amp; LOREY L</t>
  </si>
  <si>
    <t>7835 S 156TH AVE OMAHA NE 68136</t>
  </si>
  <si>
    <t>LOT 38 SPRINGHILL</t>
  </si>
  <si>
    <t>16123 ROBIN DR OMAHA NE 68136</t>
  </si>
  <si>
    <t>LOT 318 SPRINGHILL</t>
  </si>
  <si>
    <t>16121 GREENLEAF ST OMAHA NE 68136</t>
  </si>
  <si>
    <t>LOT 585 SPRINGHILL</t>
  </si>
  <si>
    <t>H &amp; T DEVELOPMENT LLC</t>
  </si>
  <si>
    <t>OUTLOT B SOUTHCREST HILLS</t>
  </si>
  <si>
    <t>OUTLOT C SOUTHCREST HILLS</t>
  </si>
  <si>
    <t>CHIZEK JR/FRANKLIN J</t>
  </si>
  <si>
    <t>810 LAKE TAHOE DR PAPILLION NE 68046</t>
  </si>
  <si>
    <t>LOT 41 WALNUT CREEK HILLS SOUTH</t>
  </si>
  <si>
    <t>BRANIGAN WILLIAM &amp; BARBARA</t>
  </si>
  <si>
    <t>7304 S 182ND ST OMAHA NE 68136</t>
  </si>
  <si>
    <t>LOT 160 SUNRIDGE</t>
  </si>
  <si>
    <t>BOLDEN/JACY MCREYNOLDS</t>
  </si>
  <si>
    <t>TAX LOT 4 19-13-11 (9.63 AC)</t>
  </si>
  <si>
    <t>GUST/STEVEN JAY &amp; SUSAN R</t>
  </si>
  <si>
    <t>OUTLOT A5 OFFUTT TOWERS REPLAT TWO (0.12 AC)</t>
  </si>
  <si>
    <t>WILSON/THOMAS M</t>
  </si>
  <si>
    <t>TAX LOT 18 EXC ROW 26-13-13 (6.08 AC)</t>
  </si>
  <si>
    <t>16406 S 192ND ST GRETNA NE 68028</t>
  </si>
  <si>
    <t>TAX LOT 11 30-13-11 (2.09 AC)</t>
  </si>
  <si>
    <t>HUSTON-LY/KAYLIE</t>
  </si>
  <si>
    <t>7411 S 101ST AVE LA VISTA NE 68128</t>
  </si>
  <si>
    <t>LOT 282 CIMARRON WOODS</t>
  </si>
  <si>
    <t>CNC INVESTMENTS LLC</t>
  </si>
  <si>
    <t>3714 FORT CROOK RD S BELLEVUE NE 68123</t>
  </si>
  <si>
    <t>LOT 2 RYBAR ADDITION</t>
  </si>
  <si>
    <t>DODGE LAND CO</t>
  </si>
  <si>
    <t>OUTLOT 12 LAKEWOOD VILLAGES (6.55 AC)</t>
  </si>
  <si>
    <t>WALL/JUSTINE</t>
  </si>
  <si>
    <t>LOT 2 FAIR HILL ADDITION REPLAT I</t>
  </si>
  <si>
    <t>SID 216</t>
  </si>
  <si>
    <t>16309 HEATHER ST OMAHA NE 68136</t>
  </si>
  <si>
    <t>LOT 391 MILLARD PARK SOUTH</t>
  </si>
  <si>
    <t>LECALSEY/AUSTIN JACOB</t>
  </si>
  <si>
    <t>TAX LOT D2 EXC N 26' &amp; VAC LAURIE ST EXC N 26' &amp; E 17' 36-14-10</t>
  </si>
  <si>
    <t>STANDING STONE</t>
  </si>
  <si>
    <t>OUTLOT F STANDING STONE (1.25 AC)</t>
  </si>
  <si>
    <t>DIL/KAMRAN &amp; MARCY</t>
  </si>
  <si>
    <t>2413 CRYSTAL DR PAPILLION NE 68046</t>
  </si>
  <si>
    <t>LOT 320 SUMMIT RIDGE</t>
  </si>
  <si>
    <t>SMITH/CAROL</t>
  </si>
  <si>
    <t>2510 HUMMINGBIRD CIR BELLEVUE NE 68123</t>
  </si>
  <si>
    <t>LOT 27 ORCHARD VALLEY</t>
  </si>
  <si>
    <t>12122 STANDING STONE DR GRETNA NE 68028</t>
  </si>
  <si>
    <t>OUTLOT L STANDING STONE REPLAT 1</t>
  </si>
  <si>
    <t>STEFFAN/MARY PAULA</t>
  </si>
  <si>
    <t>6910 S 198TH ST GRETNA NE 68028</t>
  </si>
  <si>
    <t>LOT 361 BELLBROOK</t>
  </si>
  <si>
    <t>2217 LINCOLN RD BELLEVUE NE 68005</t>
  </si>
  <si>
    <t>LOT 1 BROOK'S REPLAT</t>
  </si>
  <si>
    <t>1008 W MISSION AVE BELLEVUE NE 68005</t>
  </si>
  <si>
    <t>LOT 2 BROOK'S REPLAT</t>
  </si>
  <si>
    <t>FOOLS INC</t>
  </si>
  <si>
    <t>8805 S 15TH CIR BELLEVUE NE 68147</t>
  </si>
  <si>
    <t>LOT 6 HAWK RIDGE</t>
  </si>
  <si>
    <t>L &amp; J ASSET HOLDINGS LLC</t>
  </si>
  <si>
    <t>605 W 37TH PL BELLEVUE NE 68005</t>
  </si>
  <si>
    <t>LOT 3 PARADISE PARK EXC PT TO CITY OF BELLEVUE</t>
  </si>
  <si>
    <t>KRUG/JODY</t>
  </si>
  <si>
    <t>923 ARLENE CIR PAPILLION NE 68046</t>
  </si>
  <si>
    <t>LOT 31 VILLAS AT CREEKSIDE</t>
  </si>
  <si>
    <t>921 ARLENE CIR PAPILLION NE 68046</t>
  </si>
  <si>
    <t>LOT 32 VILLAS AT CREEKSIDE</t>
  </si>
  <si>
    <t>919 ARLENE CIR PAPILLION NE 68046</t>
  </si>
  <si>
    <t>LOT 33 VILLAS AT CREEKSIDE</t>
  </si>
  <si>
    <t>HART &amp; OLSEN PROPERTY GROUP LLC</t>
  </si>
  <si>
    <t>OUTLOT A VILLAS AT CREEKSIDE (1.254 AC)</t>
  </si>
  <si>
    <t>PLATTEVIEW 75 APARTMENTS LLC</t>
  </si>
  <si>
    <t>LOT 2 TWIN VALLEY CHURCH REPLAT 1 ADDITION</t>
  </si>
  <si>
    <t>REIS/JOSEPH A &amp; MARY D</t>
  </si>
  <si>
    <t>602 FORT CROOK RD S, UNIT A BELLEVUE NE 68005</t>
  </si>
  <si>
    <t>LOT 602A THE VILLAS AT RICHMONT, A CONDOMINIUM</t>
  </si>
  <si>
    <t>ROGERS LAND COMPANY</t>
  </si>
  <si>
    <t>TAX LOT 2A1A 18-14-13 (.18 AC)</t>
  </si>
  <si>
    <t>OLYMPUS PLAINS 5 LLC</t>
  </si>
  <si>
    <t>10779 HILLCREST PLZ LA VISTA NE 68128</t>
  </si>
  <si>
    <t>LOT 5 VAL VISTA REPLAT ONE</t>
  </si>
  <si>
    <t>NATH/ROSE J</t>
  </si>
  <si>
    <t>E 34 W 175 N 10 FT LOT 6 FAHS SUB</t>
  </si>
  <si>
    <t>GLENMORRIE CO</t>
  </si>
  <si>
    <t>TAX LOT 12 18-14-13 (.08 AC)</t>
  </si>
  <si>
    <t>BELLINO HARRISON STREET</t>
  </si>
  <si>
    <t>TAX LOT 7C 28-14-12 (.05  AC)</t>
  </si>
  <si>
    <t>VNK2 LLC</t>
  </si>
  <si>
    <t>10717 VIRGINIA PLZ PAPILLION NE 68128</t>
  </si>
  <si>
    <t>LOT 5 PORTAL PLAZA</t>
  </si>
  <si>
    <t>SUGAR CREEK NEIGHBORHOOD CENTER</t>
  </si>
  <si>
    <t>OUTLOT C SUGAR CREEK NEIGHBORHOOD CENTER</t>
  </si>
  <si>
    <t>J E S INVESTMENTS LLC</t>
  </si>
  <si>
    <t>10416 CHANDLER CIR LA VISTA NE 68128</t>
  </si>
  <si>
    <t>LOT 10 VAL VISTA REPLAT FOUR</t>
  </si>
  <si>
    <t>J &amp; D SCHRAM PARTNERSHIP LTD</t>
  </si>
  <si>
    <t>TAX LOT D1C 4-13-12 (.17 AC)</t>
  </si>
  <si>
    <t>PLATT/FRANK W</t>
  </si>
  <si>
    <t>SE CORNER TAX LOT 4 12-13-13 (.21 AC)</t>
  </si>
  <si>
    <t>THE VENTEICHER LIMITED</t>
  </si>
  <si>
    <t>10089 PORTAL RD PAPILLION NE 68128</t>
  </si>
  <si>
    <t>LOT 9 PORTAL PLAZA SOUTH (2.813 AC)</t>
  </si>
  <si>
    <t>CARRERA/SOCORRO</t>
  </si>
  <si>
    <t>6471 MICHAEL DR PAPILLION NE 68157</t>
  </si>
  <si>
    <t>LOT 115 STOCKMANS HOLLOW</t>
  </si>
  <si>
    <t>BAKER ADALINE</t>
  </si>
  <si>
    <t>2005 WINNIE DR, UNIT 4 BELLEVUE NE 68005</t>
  </si>
  <si>
    <t>UNIT 2005W-4 SILVERTHORNE CONDOMINIUM (1.625%)</t>
  </si>
  <si>
    <t>BELLER SISTERS LLC</t>
  </si>
  <si>
    <t>9850 S 168TH AVE OMAHA NE 68136</t>
  </si>
  <si>
    <t>LOT 2 PALISADES REPLAT THREE</t>
  </si>
  <si>
    <t>SMITH/JOHN H &amp; SHELLY A</t>
  </si>
  <si>
    <t>12661 S 229TH ST GRETNA NE 68028</t>
  </si>
  <si>
    <t>LOT 4 GRAND VISTA ESTATES (3.003 AC)</t>
  </si>
  <si>
    <t>12603 S 29TH AVE BELLEVUE NE 68123</t>
  </si>
  <si>
    <t>LOT 2 CAPEHART SQUARE REPLAT V (1.316 AC)</t>
  </si>
  <si>
    <t>PT OF TAX LOTS 9 &amp; 10 19-13-14 (13.99 AC)</t>
  </si>
  <si>
    <t>PLANCARTE/DIEGO M</t>
  </si>
  <si>
    <t>TAX LOT 3A2 14-14-11 (1.11 AC)</t>
  </si>
  <si>
    <t>COUNTY OF SARPY NEBRASKA</t>
  </si>
  <si>
    <t>LOT 3 SCHEWE FARMS (8.007 AC)</t>
  </si>
  <si>
    <t>HOUSING FOUNDATION FOR SARPY COUNTY</t>
  </si>
  <si>
    <t>2202 PLEASANTVIEW LN BELLEVUE NE 68005</t>
  </si>
  <si>
    <t>LOT 2 MENKE'S SECOND ADDITION</t>
  </si>
  <si>
    <t>KENNEDY TOWN CENTER LLC</t>
  </si>
  <si>
    <t>OUTLOT A KENNEDY TOWN CENTER REPLAT FOUR (1.012 AC)</t>
  </si>
  <si>
    <t>ALVARADO/NANCY J &amp; ALVINO G</t>
  </si>
  <si>
    <t>8255 S 36TH ST BELLEVUE NE 68147</t>
  </si>
  <si>
    <t>LOT 2 DENNY'S SUBDIVISION</t>
  </si>
  <si>
    <t>IRREG 809.99 X 554.44 FT TRACT BEING PT OF TAX LOT 12 22-14-13 (10.26 AC)</t>
  </si>
  <si>
    <t>JEDHA CITY REAL ESTATE LLC</t>
  </si>
  <si>
    <t>10111 S 71ST AVE PAPILLION NE 68133</t>
  </si>
  <si>
    <t>LOT 1 WEST CORNHUSKER PLAZA REPLAT ONE (1.327 AC)</t>
  </si>
  <si>
    <t>VENTEICHER/GEORGE W</t>
  </si>
  <si>
    <t>10715 PORTAL RD PAPILLION NE 68128</t>
  </si>
  <si>
    <t>LOT 1 PORTAL PLAZA SOUTH REPLAT 3 (2.055 AC)</t>
  </si>
  <si>
    <t>LOT 1 SOUTHRIDGE VALLEY (41.98 AC)</t>
  </si>
  <si>
    <t>11050 S 66TH ST PAPILLION NE 68133</t>
  </si>
  <si>
    <t>LOT 2 SOUTHRIDGE VALLEY (3.70 AC)</t>
  </si>
  <si>
    <t>AHLV HOSPITALITY LLC</t>
  </si>
  <si>
    <t>7823 S 123RD PLZ LA VISTA NE 68128</t>
  </si>
  <si>
    <t>LOT 1 SOUTHPORT EAST REPLAT FOURTEEN (1.522 AC)</t>
  </si>
  <si>
    <t>LAMB RETAIL 123 LLC</t>
  </si>
  <si>
    <t>7827 S 123RD PLZ LA VISTA NE 68128</t>
  </si>
  <si>
    <t>LOT 2 SOUTHPORT EAST REPLAT FOURTEEN (1.174 AC)</t>
  </si>
  <si>
    <t>ROGERS DEVELOPMENT INC</t>
  </si>
  <si>
    <t>6616 PARK CREST DR PAPILLION NE 68133</t>
  </si>
  <si>
    <t>OUTLOT A SETTLERS CREEK REPLAT 8</t>
  </si>
  <si>
    <t>STORE CAPITAL ACQUISITIONS LLC</t>
  </si>
  <si>
    <t>12750 WESTPORT PKWY LA VISTA NE 68138</t>
  </si>
  <si>
    <t>LOT 4 SOUTHPORT WEST REPLAT FIVE</t>
  </si>
  <si>
    <t>LOT 1 PARADISE PARK REPLAT 1</t>
  </si>
  <si>
    <t>16410 S HWY 31 GRETNA NE 68028</t>
  </si>
  <si>
    <t>IRREG N 20 AC TRACT E1/2 NE1/4 EXC SOUTHEASTERLY .03 AC TRACT 26-13-10 (19.95 AC)</t>
  </si>
  <si>
    <t>8771 S 25TH ST BELLEVUE NE 68147</t>
  </si>
  <si>
    <t>LOT 1 SPRING RIDGE</t>
  </si>
  <si>
    <t>8775 S 25TH ST BELLEVUE NE 68147</t>
  </si>
  <si>
    <t>LOT 2 SPRING RIDGE</t>
  </si>
  <si>
    <t>2450 ROSE LANE RD BELLEVUE NE 68147</t>
  </si>
  <si>
    <t>LOT 4 SPRING RIDGE</t>
  </si>
  <si>
    <t>8816 S 23RD ST BELLEVUE NE 68147</t>
  </si>
  <si>
    <t>LOT 10 SPRING RIDGE</t>
  </si>
  <si>
    <t>8906 S 23RD ST BELLEVUE NE 68147</t>
  </si>
  <si>
    <t>LOT 11 SPRING RIDGE</t>
  </si>
  <si>
    <t>8910 S 23RD ST BELLEVUE NE 68147</t>
  </si>
  <si>
    <t>LOT 12 SPRING RIDGE</t>
  </si>
  <si>
    <t>8914 S 23RD ST BELLEVUE NE 68147</t>
  </si>
  <si>
    <t>LOT 13 SPRING RIDGE</t>
  </si>
  <si>
    <t>8918 S 23RD ST BELLEVUE NE 68147</t>
  </si>
  <si>
    <t>LOT 14 SPRING RIDGE</t>
  </si>
  <si>
    <t>2131 GINDY DR BELLEVUE NE 68147</t>
  </si>
  <si>
    <t>LOT 15 SPRING RIDGE</t>
  </si>
  <si>
    <t>2127 GINDY DR BELLEVUE NE 68147</t>
  </si>
  <si>
    <t>LOT 16 SPRING RIDGE</t>
  </si>
  <si>
    <t>2123 GINDY DR BELLEVUE NE 68147</t>
  </si>
  <si>
    <t>LOT 17 SPRING RIDGE</t>
  </si>
  <si>
    <t>8954 S 21ST ST BELLEVUE NE 68147</t>
  </si>
  <si>
    <t>LOT 23 SPRING RIDGE</t>
  </si>
  <si>
    <t>2116 GINDY DR BELLEVUE NE 68147</t>
  </si>
  <si>
    <t>LOT 69 SPRING RIDGE</t>
  </si>
  <si>
    <t>LOT 76 SPRING RIDGE</t>
  </si>
  <si>
    <t>8718 S 23RD ST BELLEVUE NE 68147</t>
  </si>
  <si>
    <t>LOT 77 SPRING RIDGE</t>
  </si>
  <si>
    <t>8714 S 23RD ST BELLEVUE NE 68147</t>
  </si>
  <si>
    <t>LOT 78 SPRING RIDGE</t>
  </si>
  <si>
    <t>8710 S 23RD ST BELLEVUE NE 68147</t>
  </si>
  <si>
    <t>LOT 79 SPRING RIDGE</t>
  </si>
  <si>
    <t>8706 S 23RD ST BELLEVUE NE 68147</t>
  </si>
  <si>
    <t>LOT 80 SPRING RIDGE</t>
  </si>
  <si>
    <t>8702 S 23RD ST BELLEVUE NE 68147</t>
  </si>
  <si>
    <t>LOT 81 SPRING RIDGE</t>
  </si>
  <si>
    <t>8688 S 23RD ST BELLEVUE NE 68147</t>
  </si>
  <si>
    <t>LOT 82 SPRING RIDGE</t>
  </si>
  <si>
    <t>LOT 83 SPRING RIDGE</t>
  </si>
  <si>
    <t>2210 CITTA CIR BELLEVUE NE 68147</t>
  </si>
  <si>
    <t>LOT 84 SPRING RIDGE</t>
  </si>
  <si>
    <t>2206 CITTA CIR BELLEVUE NE 68147</t>
  </si>
  <si>
    <t>LOT 85 SPRING RIDGE</t>
  </si>
  <si>
    <t>2201 CITTA CIR BELLEVUE NE 68147</t>
  </si>
  <si>
    <t>LOT 86 SPRING RIDGE</t>
  </si>
  <si>
    <t>2205 CITTA CIR BELLEVUE NE 68147</t>
  </si>
  <si>
    <t>LOT 87 SPRING RIDGE</t>
  </si>
  <si>
    <t>2209 CITTA CIR BELLEVUE NE 68147</t>
  </si>
  <si>
    <t>LOT 88 SPRING RIDGE</t>
  </si>
  <si>
    <t>LOT 89 SPRING RIDGE</t>
  </si>
  <si>
    <t>8711 S 23RD ST BELLEVUE NE 68147</t>
  </si>
  <si>
    <t>LOT 90 SPRING RIDGE</t>
  </si>
  <si>
    <t>8715 S 23RD ST BELLEVUE NE 68147</t>
  </si>
  <si>
    <t>LOT 91 SPRING RIDGE</t>
  </si>
  <si>
    <t>LOT 94 SPRING RIDGE</t>
  </si>
  <si>
    <t>2215 ROSE LANE RD BELLEVUE NE 68147</t>
  </si>
  <si>
    <t>LOT 95 SPRING RIDGE</t>
  </si>
  <si>
    <t>2211 ROSE LANE RD BELLEVUE NE 68147</t>
  </si>
  <si>
    <t>LOT 96 SPRING RIDGE</t>
  </si>
  <si>
    <t>2207 ROSE LANE RD BELLEVUE NE 68147</t>
  </si>
  <si>
    <t>LOT 97 SPRING RIDGE</t>
  </si>
  <si>
    <t>2203 ROSE LANE RD BELLEVUE NE 68147</t>
  </si>
  <si>
    <t>LOT 98 SPRING RIDGE</t>
  </si>
  <si>
    <t>2117 ROSE LANE RD BELLEVUE NE 68147</t>
  </si>
  <si>
    <t>LOT 99 SPRING RIDGE</t>
  </si>
  <si>
    <t>2113 ROSE LANE RD BELLEVUE NE 68147</t>
  </si>
  <si>
    <t>LOT 100 SPRING RIDGE</t>
  </si>
  <si>
    <t>2109 ROSE LANE RD BELLEVUE NE 68147</t>
  </si>
  <si>
    <t>LOT 101 SPRING RIDGE</t>
  </si>
  <si>
    <t>2105 ROSE LANE RD BELLEVUE NE 68147</t>
  </si>
  <si>
    <t>LOT 102 SPRING RIDGE</t>
  </si>
  <si>
    <t>LOT 103 SPRING RIDGE</t>
  </si>
  <si>
    <t>LOT 104 SPRING RIDGE</t>
  </si>
  <si>
    <t>2039 ROSE LANE CIR BELLEVUE NE 68147</t>
  </si>
  <si>
    <t>LOT 105 SPRING RIDGE</t>
  </si>
  <si>
    <t>2035 ROSE LANE CIR BELLEVUE NE 68147</t>
  </si>
  <si>
    <t>LOT 106 SPRING RIDGE</t>
  </si>
  <si>
    <t>2031 ROSE LANE CIR BELLEVUE NE 68147</t>
  </si>
  <si>
    <t>LOT 107 SPRING RIDGE</t>
  </si>
  <si>
    <t>2027 ROSE LANE CIR BELLEVUE NE 68147</t>
  </si>
  <si>
    <t>LOT 108 SPRING RIDGE</t>
  </si>
  <si>
    <t>2023 ROSE LANE CIR BELLEVUE NE 68147</t>
  </si>
  <si>
    <t>LOT 109 SPRING RIDGE</t>
  </si>
  <si>
    <t>2019 ROSE LANE CIR BELLEVUE NE 68147</t>
  </si>
  <si>
    <t>LOT 110 SPRING RIDGE</t>
  </si>
  <si>
    <t>2015 ROSE LANE CIR BELLEVUE NE 68147</t>
  </si>
  <si>
    <t>LOT 111 SPRING RIDGE</t>
  </si>
  <si>
    <t>2011 ROSE LANE CIR BELLEVUE NE 68147</t>
  </si>
  <si>
    <t>LOT 112 SPRING RIDGE</t>
  </si>
  <si>
    <t>2007 ROSE LANE CIR BELLEVUE NE 68147</t>
  </si>
  <si>
    <t>LOT 113 SPRING RIDGE</t>
  </si>
  <si>
    <t>2004 ROSE LANE CIR BELLEVUE NE 68147</t>
  </si>
  <si>
    <t>LOT 114 SPRING RIDGE</t>
  </si>
  <si>
    <t>2008 ROSE LANE CIR BELLEVUE NE 68147</t>
  </si>
  <si>
    <t>LOT 115 SPRING RIDGE</t>
  </si>
  <si>
    <t>2012 ROSE LANE CIR BELLEVUE NE 68147</t>
  </si>
  <si>
    <t>LOT 116 SPRING RIDGE</t>
  </si>
  <si>
    <t>2016 ROSE LANE CIR BELLEVUE NE 68147</t>
  </si>
  <si>
    <t>LOT 117 SPRING RIDGE</t>
  </si>
  <si>
    <t>2020 ROSE LANE CIR BELLEVUE NE 68147</t>
  </si>
  <si>
    <t>LOT 118 SPRING RIDGE</t>
  </si>
  <si>
    <t>2024 ROSE LANE CIR BELLEVUE NE 68147</t>
  </si>
  <si>
    <t>LOT 119 SPRING RIDGE</t>
  </si>
  <si>
    <t>2028 ROSE LANE CIR BELLEVUE NE 68147</t>
  </si>
  <si>
    <t>LOT 120 SPRING RIDGE</t>
  </si>
  <si>
    <t>2032 ROSE LANE CIR BELLEVUE NE 68147</t>
  </si>
  <si>
    <t>LOT 121 SPRING RIDGE</t>
  </si>
  <si>
    <t>2036 ROSE LANE CIR BELLEVUE NE 68147</t>
  </si>
  <si>
    <t>LOT 122 SPRING RIDGE</t>
  </si>
  <si>
    <t>2040 ROSE LANE CIR BELLEVUE NE 68147</t>
  </si>
  <si>
    <t>LOT 123 SPRING RIDGE</t>
  </si>
  <si>
    <t>LOT 124 SPRING RIDGE</t>
  </si>
  <si>
    <t>LOT 125 SPRING RIDGE</t>
  </si>
  <si>
    <t>2038 CONCORD CIR BELLEVUE NE 68147</t>
  </si>
  <si>
    <t>LOT 126 SPRING RIDGE</t>
  </si>
  <si>
    <t>2033 CARY CIR BELLEVUE NE 68147</t>
  </si>
  <si>
    <t>LOT 127 SPRING RIDGE</t>
  </si>
  <si>
    <t>2035 CONCORD CIR BELLEVUE NE 68147</t>
  </si>
  <si>
    <t>LOT 128 SPRING RIDGE</t>
  </si>
  <si>
    <t>2031 CONCORD CIR BELLEVUE NE 68147</t>
  </si>
  <si>
    <t>LOT 129 SPRING RIDGE</t>
  </si>
  <si>
    <t>2027 CONCORD CIR BELLEVUE NE 68147</t>
  </si>
  <si>
    <t>LOT 130 SPRING RIDGE</t>
  </si>
  <si>
    <t>2023 CONCORD CIR BELLEVUE NE 68147</t>
  </si>
  <si>
    <t>LOT 131 SPRING RIDGE</t>
  </si>
  <si>
    <t>2019 CONCORD CIR BELLEVUE NE 68147</t>
  </si>
  <si>
    <t>LOT 132 SPRING RIDGE</t>
  </si>
  <si>
    <t>2015 CONCORD CIR BELLEVUE NE 68147</t>
  </si>
  <si>
    <t>LOT 133 SPRING RIDGE</t>
  </si>
  <si>
    <t>2011 CONCORD CIR BELLEVUE NE 68147</t>
  </si>
  <si>
    <t>LOT 134 SPRING RIDGE</t>
  </si>
  <si>
    <t>2007 CONCORD CIR BELLEVUE NE 68147</t>
  </si>
  <si>
    <t>LOT 135 SPRING RIDGE</t>
  </si>
  <si>
    <t>2003 CONCORD CIR BELLEVUE NE 68147</t>
  </si>
  <si>
    <t>LOT 136 SPRING RIDGE</t>
  </si>
  <si>
    <t>2002 CONCORD CIR BELLEVUE NE 68147</t>
  </si>
  <si>
    <t>LOT 137 SPRING RIDGE</t>
  </si>
  <si>
    <t>2006 CONCORD CIR BELLEVUE NE 68147</t>
  </si>
  <si>
    <t>LOT 138 SPRING RIDGE</t>
  </si>
  <si>
    <t>2010 CONCORD CIR BELLEVUE NE 68147</t>
  </si>
  <si>
    <t>LOT 139 SPRING RIDGE</t>
  </si>
  <si>
    <t>2014 CONCORD CIR BELLEVUE NE 68147</t>
  </si>
  <si>
    <t>LOT 140 SPRING RIDGE</t>
  </si>
  <si>
    <t>2018 CONCORD CIR BELLEVUE NE 68147</t>
  </si>
  <si>
    <t>LOT 141 SPRING RIDGE</t>
  </si>
  <si>
    <t>2022 CONCORD CIR BELLEVUE NE 68147</t>
  </si>
  <si>
    <t>LOT 142 SPRING RIDGE</t>
  </si>
  <si>
    <t>2026 CONCORD CIR BELLEVUE NE 68147</t>
  </si>
  <si>
    <t>LOT 143 SPRING RIDGE</t>
  </si>
  <si>
    <t>2030 CONCORD CIR BELLEVUE NE 68147</t>
  </si>
  <si>
    <t>LOT 144 SPRING RIDGE</t>
  </si>
  <si>
    <t>2034 CONCORD CIR BELLEVUE NE 68147</t>
  </si>
  <si>
    <t>LOT 145 SPRING RIDGE</t>
  </si>
  <si>
    <t>2029 CARY CIR BELLEVUE NE 68147</t>
  </si>
  <si>
    <t>LOT 146 SPRING RIDGE</t>
  </si>
  <si>
    <t>2025 CARY CIR BELLEVUE NE 68147</t>
  </si>
  <si>
    <t>LOT 147 SPRING RIDGE</t>
  </si>
  <si>
    <t>2021 CARY CIR BELLEVUE NE 68147</t>
  </si>
  <si>
    <t>LOT 148 SPRING RIDGE</t>
  </si>
  <si>
    <t>2017 CARY CIR BELLEVUE NE 68147</t>
  </si>
  <si>
    <t>LOT 149 SPRING RIDGE</t>
  </si>
  <si>
    <t>2013 CARY CIR BELLEVUE NE 68147</t>
  </si>
  <si>
    <t>LOT 150 SPRING RIDGE</t>
  </si>
  <si>
    <t>2009 CARY CIR BELLEVUE NE 68147</t>
  </si>
  <si>
    <t>LOT 151 SPRING RIDGE</t>
  </si>
  <si>
    <t>2005 CARY CIR BELLEVUE NE 68147</t>
  </si>
  <si>
    <t>LOT 152 SPRING RIDGE</t>
  </si>
  <si>
    <t>2001 CARY CIR BELLEVUE NE 68147</t>
  </si>
  <si>
    <t>LOT 153 SPRING RIDGE</t>
  </si>
  <si>
    <t>OUTLOT A SPRING RIDGE</t>
  </si>
  <si>
    <t>OUTLOT B SPRING RIDGE</t>
  </si>
  <si>
    <t>OUTLOT E SPRING RIDGE</t>
  </si>
  <si>
    <t>IRREG 1.04 AC TRACT BEING PT OF TAX LOT 12 SW1/4 22-14-13 (1.04 AC)</t>
  </si>
  <si>
    <t>OUTLOT A PEBBLEBROOKE 2</t>
  </si>
  <si>
    <t>EAGLE RIDGE DEVELOPMENT COMPANY</t>
  </si>
  <si>
    <t>OUTLOT A EAGLE RIDGE VILLAGE (0.30 AC)</t>
  </si>
  <si>
    <t>MILLER/MICHAEL T &amp; KATHRYN L</t>
  </si>
  <si>
    <t>PT OUTLOT D SPRING RIDGE ADJ TO LOT 6 SPRING CREEK (0.20 AC)</t>
  </si>
  <si>
    <t>MBR DEVELOPMENT LLC</t>
  </si>
  <si>
    <t>OUTLOT A PIONEER VIEW</t>
  </si>
  <si>
    <t>OUTLOT B PIONEER VIEW</t>
  </si>
  <si>
    <t>OUTLOT C PIONEER VIEW</t>
  </si>
  <si>
    <t>OUTLOT D PIONEER VIEW</t>
  </si>
  <si>
    <t>KENYON/PAUL H &amp; DIANE H</t>
  </si>
  <si>
    <t>10504 WINDWARD AVE PAPILLION NE 68046</t>
  </si>
  <si>
    <t>LOT 114 GRANITE LAKE</t>
  </si>
  <si>
    <t>RIDPATH GERENE ANN</t>
  </si>
  <si>
    <t>11301 S 237TH ST GRETNA NE 68028</t>
  </si>
  <si>
    <t>LOT 2 DH ADDITION REPLAT 1 (6.08 AC)</t>
  </si>
  <si>
    <t>EDMUNDSON NICHOLAS &amp; JILL</t>
  </si>
  <si>
    <t>10008 S 181ST ST OMAHA NE 68136</t>
  </si>
  <si>
    <t>LOT 62 BRIDGEPORT</t>
  </si>
  <si>
    <t>SID #320</t>
  </si>
  <si>
    <t>OUTLOT A BRIDGEPORT</t>
  </si>
  <si>
    <t>OUTLOT B BRIDGEPORT</t>
  </si>
  <si>
    <t>OUTLOT C BRIDGEPORT EXC ROW (.42 AC)</t>
  </si>
  <si>
    <t>OUTLOT E BRIDGEPORT</t>
  </si>
  <si>
    <t>12605 S 75TH ST PAPILLION NE 68046</t>
  </si>
  <si>
    <t>LOT 153 SHADOW LAKE 2</t>
  </si>
  <si>
    <t>10616 LAKE TAHOE DR PAPILLION NE 68046</t>
  </si>
  <si>
    <t>LOT 22 THE RESERVE AT SCHRAM POINT</t>
  </si>
  <si>
    <t>10612 LAKE TAHOE DR PAPILLION NE 68046</t>
  </si>
  <si>
    <t>LOT 23 THE RESERVE AT SCHRAM POINT</t>
  </si>
  <si>
    <t>10608 LAKE TAHOE DR PAPILLION NE 68046</t>
  </si>
  <si>
    <t>LOT 24 THE RESERVE AT SCHRAM POINT</t>
  </si>
  <si>
    <t>10552 LAKE TAHOE DR PAPILLION NE 68046</t>
  </si>
  <si>
    <t>LOT 30 THE RESERVE AT SCHRAM POINT</t>
  </si>
  <si>
    <t>TRADEMARK HOMES INC</t>
  </si>
  <si>
    <t>11527 S 117TH ST PAPILLION NE 68046</t>
  </si>
  <si>
    <t>LOT 153 ASHBURY CREEK</t>
  </si>
  <si>
    <t>11615 S 115TH ST PAPILLION NE 68046</t>
  </si>
  <si>
    <t>LOT 197 ASHBURY CREEK</t>
  </si>
  <si>
    <t>11513 S 114TH AVE PAPILLION NE 68046</t>
  </si>
  <si>
    <t>LOT 212 ASHBURY CREEK</t>
  </si>
  <si>
    <t>11751 FENWICK ST PAPILLION NE 68046</t>
  </si>
  <si>
    <t>LOT 235 ASHBURY CREEK</t>
  </si>
  <si>
    <t>ROXBURGH/ADAM M &amp; ASHLEY N</t>
  </si>
  <si>
    <t>PT LOT 24 THE ESTATES AT WYNNWOOD (2.085 AC) (2 CARDS/2 SECTIONS)</t>
  </si>
  <si>
    <t>PT LOT 24 THE ESTATES AT WYNNWOOD (0.968 AC) (2 CARDS/2 SECTIONS)</t>
  </si>
  <si>
    <t>DAVE PAIK BUILDERS INC</t>
  </si>
  <si>
    <t>10318 S 189TH ST OMAHA NE 68136</t>
  </si>
  <si>
    <t>LOT 108 ASPEN CREEK NORTH</t>
  </si>
  <si>
    <t>CENTERLINE CONSTRUCTION LLC</t>
  </si>
  <si>
    <t>10221 COVE HOLLOW DR PAPILLION NE 68046</t>
  </si>
  <si>
    <t>LOT 144 GRANITE LAKE</t>
  </si>
  <si>
    <t>10209 COVE HOLLOW DR PAPILLION NE 68046</t>
  </si>
  <si>
    <t>LOT 147 GRANITE LAKE</t>
  </si>
  <si>
    <t>MILLER ANGELA &amp; DANIEL</t>
  </si>
  <si>
    <t>12904 S 54TH ST BELLEVUE NE 68133</t>
  </si>
  <si>
    <t>LOT 211 FALCON POINTE</t>
  </si>
  <si>
    <t>BARR HOMES INC</t>
  </si>
  <si>
    <t>12802 COOPER ST PAPILLION NE 68138</t>
  </si>
  <si>
    <t>LOT 65 FOUNDERS RIDGE</t>
  </si>
  <si>
    <t>MERCURY CONTRACTORS INC</t>
  </si>
  <si>
    <t>12511 SCHIRRA CIR PAPILLION NE 68046</t>
  </si>
  <si>
    <t>LOT 132 FOUNDERS RIDGE</t>
  </si>
  <si>
    <t>CREECH/WILLIAM J</t>
  </si>
  <si>
    <t>12606 COOPER ST PAPILLION NE 68138</t>
  </si>
  <si>
    <t>LOT 139 FOUNDERS RIDGE</t>
  </si>
  <si>
    <t>KEVAL CONSTRUCTION LLC</t>
  </si>
  <si>
    <t>10314 S 98TH ST PAPILLION NE 68046</t>
  </si>
  <si>
    <t>LOT 66 LINCOLN WAY</t>
  </si>
  <si>
    <t>RICHLAND HOMES LLC</t>
  </si>
  <si>
    <t>9563 S 184TH TER OMAHA NE 68136</t>
  </si>
  <si>
    <t>LOT 95 HILLS OF ASPEN CREEK</t>
  </si>
  <si>
    <t>OUTLOT E PIONEER VIEW</t>
  </si>
  <si>
    <t>OUTLOT F PIONEER VIEW</t>
  </si>
  <si>
    <t>OUTLOT G PIONEER VIEW</t>
  </si>
  <si>
    <t>OUTLOT H PIONEER VIEW (1.02 AC)</t>
  </si>
  <si>
    <t>OUTLOT I PIONEER VIEW (1.60 AC)</t>
  </si>
  <si>
    <t>OUTLOT J PIONEER VIEW</t>
  </si>
  <si>
    <t>OUTLOT K PIONEER VIEW</t>
  </si>
  <si>
    <t>OUTLOT L PIONEER VIEW</t>
  </si>
  <si>
    <t>PT OUTLOT M PIONEER VIEW (24.38 AC) (2 CARDS/2 TAX TAX DISTRICTS)</t>
  </si>
  <si>
    <t>PT OUTLOT M PIONEER VIEW (2 CARDS/2 TAX TAX DISTRICTS)</t>
  </si>
  <si>
    <t>OUTLOT N PIONEER VIEW</t>
  </si>
  <si>
    <t>96 SCHRAM LLC</t>
  </si>
  <si>
    <t>LOT 2 SAVANNA SHORES 2ND ADDITION REPLAT TWO (1.242 AC)</t>
  </si>
  <si>
    <t>LOT 3 SAVANNA SHORES 2ND ADDITION REPLAT TWO (1.042 AC)</t>
  </si>
  <si>
    <t>LOT 4 SAVANNA SHORES 2ND ADDITION REPLAT TWO (1.335 AC)</t>
  </si>
  <si>
    <t>JANOVICH INVESTMENTS LLC</t>
  </si>
  <si>
    <t>20705 JEANNIE LN GRETNA NE 68028</t>
  </si>
  <si>
    <t>LOT 182 LAKEVIEW</t>
  </si>
  <si>
    <t>VANTAGE DESIGN</t>
  </si>
  <si>
    <t>20509 JEANNIE LN GRETNA NE 68028</t>
  </si>
  <si>
    <t>LOT 188 LAKEVIEW</t>
  </si>
  <si>
    <t>20505 JEANNIE LN GRETNA NE 68028</t>
  </si>
  <si>
    <t>LOT 189 LAKEVIEW</t>
  </si>
  <si>
    <t>ASHBURY HILLS DEVELOPMENT LLC</t>
  </si>
  <si>
    <t>11565 S 123RD AVE PAPILLION NE 68046</t>
  </si>
  <si>
    <t>LOT 9 ASHBURY HILLS</t>
  </si>
  <si>
    <t>11560 S 123RD AVE PAPILLION NE 68046</t>
  </si>
  <si>
    <t>LOT 15 ASHBURY HILLS</t>
  </si>
  <si>
    <t>11564 S 123RD AVE PAPILLION NE 68046</t>
  </si>
  <si>
    <t>LOT 16 ASHBURY HILLS</t>
  </si>
  <si>
    <t>11565 S 124TH ST PAPILLION NE 68046</t>
  </si>
  <si>
    <t>LOT 23 ASHBURY HILLS</t>
  </si>
  <si>
    <t>OUTLOT A ASHBURY HILLS (1.115 AC)</t>
  </si>
  <si>
    <t>OUTLOT B ASHBURY HILLS (4.263 AC)</t>
  </si>
  <si>
    <t>OUTLOT C ASHBURY HILLS (2.081 AC)</t>
  </si>
  <si>
    <t>OUTLOT E ASHBURY HILLS (1.018 AC)</t>
  </si>
  <si>
    <t>OUTLOT F ASHBURY HILLS</t>
  </si>
  <si>
    <t>OUTLOT G ASHBURY HILLS</t>
  </si>
  <si>
    <t>OUTLOT H ASHBURY HILLS</t>
  </si>
  <si>
    <t>19709 GREENLEAF ST GRETNA NE 68028</t>
  </si>
  <si>
    <t>LOT 329 REMINGTON RIDGE</t>
  </si>
  <si>
    <t>LUTH RONALD KEITH &amp; JESSICA JOY</t>
  </si>
  <si>
    <t>PT LOT 6 BRIDGEPORT SUBDIVISION REPLAT 1 (2 CARDS/2 TAX DISTRICTS)</t>
  </si>
  <si>
    <t>NELSON CLEON</t>
  </si>
  <si>
    <t>10017 S 186TH ST OMAHA NE 68136</t>
  </si>
  <si>
    <t>LOT 9 BRIDGEPORT SUBDIVISION REPLAT 1</t>
  </si>
  <si>
    <t>230 W MISSION AVE BELLEVUE NE 68005</t>
  </si>
  <si>
    <t>LOT 1 CIVIC CENTER PLAZA REPLAT ONE</t>
  </si>
  <si>
    <t>LOT 3 CIVIC CENTER PLAZA REPLAT ONE</t>
  </si>
  <si>
    <t>OUTLOT B BRIDGEPORT SUBDIVISION REPLAT 2 (.96 AC)</t>
  </si>
  <si>
    <t>FIVE &amp; FIVE DEVELOPMENT LLC</t>
  </si>
  <si>
    <t>11713 PORT ROYAL DR PAPILLION NE 68046</t>
  </si>
  <si>
    <t>LOT 36 BELTERRA</t>
  </si>
  <si>
    <t>11705 PORT ROYAL DR PAPILLION NE 68046</t>
  </si>
  <si>
    <t>LOT 38 BELTERRA</t>
  </si>
  <si>
    <t>11918 S 117TH ST PAPILLION NE 68046</t>
  </si>
  <si>
    <t>LOT 74 BELTERRA</t>
  </si>
  <si>
    <t>11922 S 117TH ST PAPILLION NE 68046</t>
  </si>
  <si>
    <t>LOT 75 BELTERRA</t>
  </si>
  <si>
    <t>11926 S 117TH ST PAPILLION NE 68046</t>
  </si>
  <si>
    <t>LOT 76 BELTERRA</t>
  </si>
  <si>
    <t>FELKER FAMILY FARMS LLC</t>
  </si>
  <si>
    <t>OUTLOT A BELTERRA (2.641 AC)</t>
  </si>
  <si>
    <t xml:space="preserve">TAX LOT 14 W OF HWY 75 3-13-13 (3.11 AC) </t>
  </si>
  <si>
    <t>2607 MARGO ST BELLEVUE NE 68147</t>
  </si>
  <si>
    <t>LOT 1 BLOCK 12, FIRST ADDITION TO THE RANDOLPH PLACE REPLAT 4</t>
  </si>
  <si>
    <t>SMOCK MATTHEW &amp; KIMBERLY</t>
  </si>
  <si>
    <t>18607 HAZELNUT CIR GRETNA NE 68028</t>
  </si>
  <si>
    <t>LOT 113 HIDDEN HOLLOW</t>
  </si>
  <si>
    <t>SOUTHBROOK DEVELOPMENT LLC</t>
  </si>
  <si>
    <t>OUTLOT B SOUTHBROOK REPLAT 2 (3.852 AC)</t>
  </si>
  <si>
    <t>THE BRANT LLC</t>
  </si>
  <si>
    <t>6991 S 178TH PLZ OMAHA NE 68136</t>
  </si>
  <si>
    <t>LOT 1 PLAMBECK ADDITION REPLAT TWO (10.027 AC)</t>
  </si>
  <si>
    <t xml:space="preserve">VAC 108TH ST ADJ TO OULOT F GRANITE FALLS NORTH EXC PT FOR SID </t>
  </si>
  <si>
    <t>12402 HORIZON ST PAPILLION NE 68046</t>
  </si>
  <si>
    <t>LOT 2 ASHBURY HILLS REPLAT ONE</t>
  </si>
  <si>
    <t>11661 S 123RD TER PAPILLION NE 68046</t>
  </si>
  <si>
    <t>LOT 20 ASHBURY HILLS REPLAT ONE</t>
  </si>
  <si>
    <t>11664 S 124TH ST PAPILLION NE 68046</t>
  </si>
  <si>
    <t>LOT 37 ASHBURY HILLS REPLAT ONE</t>
  </si>
  <si>
    <t>11672 S 124TH ST PAPILLION NE 68046</t>
  </si>
  <si>
    <t>LOT 39 ASHBURY HILLS REPLAT ONE</t>
  </si>
  <si>
    <t>11676 S 124TH ST PAPILLION NE 68046</t>
  </si>
  <si>
    <t>LOT 40 ASHBURY HILLS REPLAT ONE</t>
  </si>
  <si>
    <t>11680 S 124TH ST PAPILLION NE 68046</t>
  </si>
  <si>
    <t>LOT 41 ASHBURY HILLS REPLAT ONE</t>
  </si>
  <si>
    <t>11684 S 124TH ST PAPILLION NE 68046</t>
  </si>
  <si>
    <t>LOT 42 ASHBURY HILLS REPLAT ONE</t>
  </si>
  <si>
    <t>OUTLOT B ASHBURY HILLS REPLAT ONE</t>
  </si>
  <si>
    <t>OUTLOT C ASHBURY HILLS REPLAT ONE</t>
  </si>
  <si>
    <t>KA GRETNA LLC</t>
  </si>
  <si>
    <t>18506 OAKMONT DR OMAHA NE 68136</t>
  </si>
  <si>
    <t>LOT 1 ASPEN CREEK REPLAT 3 (2.2 AC)</t>
  </si>
  <si>
    <t>LOT 1 K &amp; G ADDITION</t>
  </si>
  <si>
    <t>PAPIO PARK LLC</t>
  </si>
  <si>
    <t>NE1/4 NW1/4 EXC PT FOR SEVENTY TWO PLACE 1-13-12 (23.42 AC)</t>
  </si>
  <si>
    <t>12609 S 79TH ST PAPILLION NE 68046</t>
  </si>
  <si>
    <t>LOT 205 SHADOW LAKE 2</t>
  </si>
  <si>
    <t>LOT 5 SEVENTY TWO PLACE (2.840 AC)</t>
  </si>
  <si>
    <t>LOT 8 SEVENTY TWO PLACE (3.814 AC)</t>
  </si>
  <si>
    <t>7011 STONY POINT DR PAPILLION NE 68046</t>
  </si>
  <si>
    <t>LOT 9 SEVENTY TWO PLACE</t>
  </si>
  <si>
    <t>7009 STONY POINT DR PAPILLION NE 68046</t>
  </si>
  <si>
    <t>LOT 10 SEVENTY TWO PLACE</t>
  </si>
  <si>
    <t>7005 STONY POINT DR PAPILLION NE 68046</t>
  </si>
  <si>
    <t>LOT 11 SEVENTY TWO PLACE</t>
  </si>
  <si>
    <t>7001 STONY POINT DR PAPILLION NE 68046</t>
  </si>
  <si>
    <t>LOT 12 SEVENTY TWO PLACE</t>
  </si>
  <si>
    <t>6875 STONY POINT DR PAPILLION NE 68133</t>
  </si>
  <si>
    <t>LOT 13 SEVENTY TWO PLACE</t>
  </si>
  <si>
    <t>6863 STONY POINT DR PAPILLION NE 68133</t>
  </si>
  <si>
    <t>LOT 16 SEVENTY TWO PLACE</t>
  </si>
  <si>
    <t>6859 STONY POINT DR PAPILLION NE 68133</t>
  </si>
  <si>
    <t>LOT 17 SEVENTY TWO PLACE</t>
  </si>
  <si>
    <t>6855 STONY POINT DR PAPILLION NE 68133</t>
  </si>
  <si>
    <t>LOT 18 SEVENTY TWO PLACE</t>
  </si>
  <si>
    <t>LOT 21 SEVENTY TWO PLACE</t>
  </si>
  <si>
    <t>6860 STONY POINT DR PAPILLION NE 68133</t>
  </si>
  <si>
    <t>LOT 22 SEVENTY TWO PLACE</t>
  </si>
  <si>
    <t>6864 STONY POINT DR PAPILLION NE 68133</t>
  </si>
  <si>
    <t>LOT 23 SEVENTY TWO PLACE</t>
  </si>
  <si>
    <t>6868 STONY POINT DR PAPILLION NE 68133</t>
  </si>
  <si>
    <t>LOT 24 SEVENTY TWO PLACE</t>
  </si>
  <si>
    <t>6902 STONY POINT DR PAPILLION NE 68133</t>
  </si>
  <si>
    <t>LOT 26 SEVENTY TWO PLACE</t>
  </si>
  <si>
    <t>6906 STONY POINT DR PAPILLION NE 68133</t>
  </si>
  <si>
    <t>LOT 27 SEVENTY TWO PLACE</t>
  </si>
  <si>
    <t>LOT 28 SEVENTY TWO PLACE</t>
  </si>
  <si>
    <t>LOT 29 SEVENTY TWO PLACE</t>
  </si>
  <si>
    <t>6909 FLINT DR PAPILLION NE 68133</t>
  </si>
  <si>
    <t>LOT 30 SEVENTY TWO PLACE</t>
  </si>
  <si>
    <t>6905 FLINT DR PAPILLION NE 68133</t>
  </si>
  <si>
    <t>LOT 31 SEVENTY TWO PLACE</t>
  </si>
  <si>
    <t>6901 FLINT DR PAPILLION NE 68133</t>
  </si>
  <si>
    <t>LOT 32 SEVENTY TWO PLACE</t>
  </si>
  <si>
    <t>6863 FLINT DR PAPILLION NE 68133</t>
  </si>
  <si>
    <t>LOT 33 SEVENTY TWO PLACE</t>
  </si>
  <si>
    <t>6859 FLINT DR PAPILLION NE 68133</t>
  </si>
  <si>
    <t>LOT 34 SEVENTY TWO PLACE</t>
  </si>
  <si>
    <t>6855 FLINT DR PAPILLION NE 68133</t>
  </si>
  <si>
    <t>LOT 35 SEVENTY TWO PLACE</t>
  </si>
  <si>
    <t>LOT 36 SEVENTY TWO PLACE</t>
  </si>
  <si>
    <t>LOT 37 SEVENTY TWO PLACE</t>
  </si>
  <si>
    <t>6854 FLINT DR PAPILLION NE 68133</t>
  </si>
  <si>
    <t>LOT 38 SEVENTY TWO PLACE</t>
  </si>
  <si>
    <t>6858 FLINT DR PAPILLION NE 68133</t>
  </si>
  <si>
    <t>LOT 39 SEVENTY TWO PLACE</t>
  </si>
  <si>
    <t>6862 FLINT DR PAPILLION NE 68133</t>
  </si>
  <si>
    <t>LOT 40 SEVENTY TWO PLACE</t>
  </si>
  <si>
    <t>6902 FLINT DR PAPILLION NE 68133</t>
  </si>
  <si>
    <t>LOT 41 SEVENTY TWO PLACE</t>
  </si>
  <si>
    <t>6906 FLINT DR PAPILLION NE 68133</t>
  </si>
  <si>
    <t>LOT 42 SEVENTY TWO PLACE</t>
  </si>
  <si>
    <t>6910 FLINT DR PAPILLION NE 68133</t>
  </si>
  <si>
    <t>LOT 43 SEVENTY TWO PLACE</t>
  </si>
  <si>
    <t>LOT 44 SEVENTY TWO PLACE</t>
  </si>
  <si>
    <t>6913 PORTAGE DR PAPILLION NE 68133</t>
  </si>
  <si>
    <t>LOT 46 SEVENTY TWO PLACE</t>
  </si>
  <si>
    <t>6909 PORTAGE DR PAPILLION NE 68133</t>
  </si>
  <si>
    <t>LOT 47 SEVENTY TWO PLACE</t>
  </si>
  <si>
    <t>6905 PORTAGE DR PAPILLION NE 68133</t>
  </si>
  <si>
    <t>LOT 48 SEVENTY TWO PLACE</t>
  </si>
  <si>
    <t>6861 PORTAGE DR PAPILLION NE 68133</t>
  </si>
  <si>
    <t>LOT 49 SEVENTY TWO PLACE</t>
  </si>
  <si>
    <t>6857 PORTAGE DR PAPILLION NE 68133</t>
  </si>
  <si>
    <t>LOT 50 SEVENTY TWO PLACE</t>
  </si>
  <si>
    <t>LOT 51 SEVENTY TWO PLACE</t>
  </si>
  <si>
    <t>6860 PORTAGE DR PAPILLION NE 68133</t>
  </si>
  <si>
    <t>LOT 54 SEVENTY TWO PLACE</t>
  </si>
  <si>
    <t>6904 PORTAGE DR PAPILLION NE 68133</t>
  </si>
  <si>
    <t>LOT 55 SEVENTY TWO PLACE</t>
  </si>
  <si>
    <t>6908 PORTAGE DR PAPILLION NE 68133</t>
  </si>
  <si>
    <t>LOT 56 SEVENTY TWO PLACE</t>
  </si>
  <si>
    <t>LOT 57 SEVENTY TWO PLACE</t>
  </si>
  <si>
    <t>LOT 58 SEVENTY TWO PLACE</t>
  </si>
  <si>
    <t>11955 S 68TH AVE PAPILLION NE 68133</t>
  </si>
  <si>
    <t>LOT 59 SEVENTY TWO PLACE</t>
  </si>
  <si>
    <t>11951 S 68TH AVE PAPILLION NE 68133</t>
  </si>
  <si>
    <t>LOT 60 SEVENTY TWO PLACE</t>
  </si>
  <si>
    <t>11913 S 68TH AVE PAPILLION NE 68133</t>
  </si>
  <si>
    <t>LOT 61 SEVENTY TWO PLACE</t>
  </si>
  <si>
    <t>11909 S 68TH AVE PAPILLION NE 68133</t>
  </si>
  <si>
    <t>LOT 62 SEVENTY TWO PLACE</t>
  </si>
  <si>
    <t>11905 S 68TH AVE PAPILLION NE 68133</t>
  </si>
  <si>
    <t>LOT 63 SEVENTY TWO PLACE</t>
  </si>
  <si>
    <t>11901 S 68TH AVE PAPILLION NE 68133</t>
  </si>
  <si>
    <t>LOT 64 SEVENTY TWO PLACE</t>
  </si>
  <si>
    <t>11865 S 68TH AVE PAPILLION NE 68133</t>
  </si>
  <si>
    <t>LOT 65 SEVENTY TWO PLACE</t>
  </si>
  <si>
    <t>11861 S 68TH AVE PAPILLION NE 68133</t>
  </si>
  <si>
    <t>LOT 66 SEVENTY TWO PLACE</t>
  </si>
  <si>
    <t>LOT 68 SEVENTY TWO PLACE</t>
  </si>
  <si>
    <t>OUTLOT B SEVENTY TWO PLACE (1.046 AC)</t>
  </si>
  <si>
    <t>OUTLOT C SEVENTY TWO PLACE (.637 AC)</t>
  </si>
  <si>
    <t>OUTLOT D SEVENTY TWO PLACE (.894 AC)</t>
  </si>
  <si>
    <t>OMAHA PUBLIC POWER DISTRICT</t>
  </si>
  <si>
    <t>WESTERLY 11 AC SE1/4 SW1/4 23-13-10 (10.98 AC)</t>
  </si>
  <si>
    <t>WINDSOR EAST DEVELOPMENT LLC</t>
  </si>
  <si>
    <t>17602 GREENLEAF ST OMAHA NE 68136</t>
  </si>
  <si>
    <t>PT LOT 14 WINDSOR EAST 9 (2 CARDS/2 TAX DISTRICTS)</t>
  </si>
  <si>
    <t>17606 GREENLEAF ST OMAHA NE 68136</t>
  </si>
  <si>
    <t>LOT 15 WINDSOR EAST</t>
  </si>
  <si>
    <t>17610 GREENLEAF ST OMAHA NE 68136</t>
  </si>
  <si>
    <t>LOT 16 WINDSOR EAST</t>
  </si>
  <si>
    <t>17614 GREENLEAF ST OMAHA NE 68136</t>
  </si>
  <si>
    <t>LOT 17 WINDSOR EAST</t>
  </si>
  <si>
    <t>17618 GREENLEAF ST OMAHA NE 68136</t>
  </si>
  <si>
    <t>LOT 18 WINDSOR EAST</t>
  </si>
  <si>
    <t>17622 GREENLEAF ST OMAHA NE 68136</t>
  </si>
  <si>
    <t>LOT 19 WINDSOR EAST</t>
  </si>
  <si>
    <t>17644 GREENLEAF ST OMAHA NE 68136</t>
  </si>
  <si>
    <t>LOT 24 WINDSOR EAST</t>
  </si>
  <si>
    <t>17648 GREENLEAF ST OMAHA NE 68136</t>
  </si>
  <si>
    <t>LOT 25 WINDSOR EAST</t>
  </si>
  <si>
    <t>17652 GREENLEAF ST OMAHA NE 68136</t>
  </si>
  <si>
    <t>LOT 26 WINDSOR EAST</t>
  </si>
  <si>
    <t>17656 GREENLEAF ST OMAHA NE 68136</t>
  </si>
  <si>
    <t>LOT 27 WINDSOR EAST</t>
  </si>
  <si>
    <t>17660 GREENLEAF ST OMAHA NE 68136</t>
  </si>
  <si>
    <t>LOT 28 WINDSOR EAST</t>
  </si>
  <si>
    <t>17664 GREENLEAF ST OMAHA NE 68136</t>
  </si>
  <si>
    <t>LOT 29 WINDSOR EAST</t>
  </si>
  <si>
    <t>17668 GREENLEAF ST OMAHA NE 68136</t>
  </si>
  <si>
    <t>LOT 30 WINDSOR EAST</t>
  </si>
  <si>
    <t>17672 GREENLEAF ST OMAHA NE 68136</t>
  </si>
  <si>
    <t>LOT 31 WINDSOR EAST</t>
  </si>
  <si>
    <t>17676 GREENLEAF ST OMAHA NE 68136</t>
  </si>
  <si>
    <t>LOT 32 WINDSOR EAST</t>
  </si>
  <si>
    <t>LOT 33 WINDSOR EAST</t>
  </si>
  <si>
    <t>8121 S 177TH ST OMAHA NE 68136</t>
  </si>
  <si>
    <t>LOT 34 WINDSOR EAST</t>
  </si>
  <si>
    <t>8117 S 177TH ST OMAHA NE 68136</t>
  </si>
  <si>
    <t>LOT 35 WINDSOR EAST</t>
  </si>
  <si>
    <t>8113 S 177TH ST OMAHA NE 68136</t>
  </si>
  <si>
    <t>LOT 36 WINDSOR EAST</t>
  </si>
  <si>
    <t>8109 S 177TH ST OMAHA NE 68136</t>
  </si>
  <si>
    <t>LOT 37 WINDSOR EAST</t>
  </si>
  <si>
    <t>8105 S 177TH ST OMAHA NE 68136</t>
  </si>
  <si>
    <t>LOT 38 WINDSOR EAST</t>
  </si>
  <si>
    <t>8101 S 177TH ST OMAHA NE 68136</t>
  </si>
  <si>
    <t>LOT 39 WINDSOR EAST</t>
  </si>
  <si>
    <t>17710 BIRCH AVE OMAHA NE 68136</t>
  </si>
  <si>
    <t>LOT 42 WINDSOR EAST</t>
  </si>
  <si>
    <t>17714 BIRCH AVE OMAHA NE 68136</t>
  </si>
  <si>
    <t>LOT 43 WINDSOR EAST</t>
  </si>
  <si>
    <t>17718 BIRCH AVE OMAHA NE 68136</t>
  </si>
  <si>
    <t>LOT 44 WINDSOR EAST</t>
  </si>
  <si>
    <t>17722 BIRCH AVE OMAHA NE 68136</t>
  </si>
  <si>
    <t>LOT 45 WINDSOR EAST</t>
  </si>
  <si>
    <t>17726 BIRCH AVE OMAHA NE 68136</t>
  </si>
  <si>
    <t>LOT 46 WINDSOR EAST</t>
  </si>
  <si>
    <t>17730 BIRCH AVE OMAHA NE 68136</t>
  </si>
  <si>
    <t>LOT 47 WINDSOR EAST</t>
  </si>
  <si>
    <t>17734 BIRCH AVE OMAHA NE 68136</t>
  </si>
  <si>
    <t>LOT 48 WINDSOR EAST</t>
  </si>
  <si>
    <t>17738 BIRCH AVE OMAHA NE 68136</t>
  </si>
  <si>
    <t>LOT 49 WINDSOR EAST</t>
  </si>
  <si>
    <t>8104 S 178TH ST OMAHA NE 68136</t>
  </si>
  <si>
    <t>LOT 50 WINDSOR EAST</t>
  </si>
  <si>
    <t>8108 S 178TH ST OMAHA NE 68136</t>
  </si>
  <si>
    <t>LOT 51 WINDSOR EAST</t>
  </si>
  <si>
    <t>8216 S 177TH ST OMAHA NE 68136</t>
  </si>
  <si>
    <t>LOT 94 WINDSOR EAST</t>
  </si>
  <si>
    <t>8220 S 177TH ST OMAHA NE 68136</t>
  </si>
  <si>
    <t>LOT 95 WINDSOR EAST</t>
  </si>
  <si>
    <t>8224 S 177TH ST OMAHA NE 68136</t>
  </si>
  <si>
    <t>LOT 96 WINDSOR EAST</t>
  </si>
  <si>
    <t>8228 S 177TH ST OMAHA NE 68136</t>
  </si>
  <si>
    <t>LOT 97 WINDSOR EAST</t>
  </si>
  <si>
    <t>8232 S 177TH ST OMAHA NE 68136</t>
  </si>
  <si>
    <t>LOT 98 WINDSOR EAST</t>
  </si>
  <si>
    <t>8236 S 177TH ST OMAHA NE 68136</t>
  </si>
  <si>
    <t>LOT 99 WINDSOR EAST</t>
  </si>
  <si>
    <t>LOT 100 WINDSOR EAST</t>
  </si>
  <si>
    <t>17667 GREENLEAF ST OMAHA NE 68136</t>
  </si>
  <si>
    <t>LOT 101 WINDSOR EAST</t>
  </si>
  <si>
    <t>17663 GREENLEAF ST OMAHA NE 68136</t>
  </si>
  <si>
    <t>LOT 102 WINDSOR EAST</t>
  </si>
  <si>
    <t>17659 GREENLEAF ST OMAHA NE 68136</t>
  </si>
  <si>
    <t>LOT 103 WINDSOR EAST</t>
  </si>
  <si>
    <t>17655 GREENLEAF ST OMAHA NE 68136</t>
  </si>
  <si>
    <t>LOT 104 WINDSOR EAST</t>
  </si>
  <si>
    <t>17651 GREENLEAF ST OMAHA NE 68136</t>
  </si>
  <si>
    <t>LOT 105 WINDSOR EAST</t>
  </si>
  <si>
    <t>17647 GREENLEAF ST OMAHA NE 68136</t>
  </si>
  <si>
    <t>LOT 106 WINDSOR EAST</t>
  </si>
  <si>
    <t>17643 GREENLEAF ST OMAHA NE 68136</t>
  </si>
  <si>
    <t>LOT 107 WINDSOR EAST</t>
  </si>
  <si>
    <t>17639 GREENLEAF ST OMAHA NE 68136</t>
  </si>
  <si>
    <t>LOT 108 WINDSOR EAST</t>
  </si>
  <si>
    <t>17635 GREENLEAF ST OMAHA NE 68136</t>
  </si>
  <si>
    <t>LOT 109 WINDSOR EAST</t>
  </si>
  <si>
    <t>17631 GREENLEAF ST OMAHA NE 68136</t>
  </si>
  <si>
    <t>LOT 110 WINDSOR EAST</t>
  </si>
  <si>
    <t>17627 GREENLEAF ST OMAHA NE 68136</t>
  </si>
  <si>
    <t>LOT 111 WINDSOR EAST</t>
  </si>
  <si>
    <t>17623 GREENLEAF ST OMAHA NE 68136</t>
  </si>
  <si>
    <t>LOT 112 WINDSOR EAST</t>
  </si>
  <si>
    <t>17619 GREENLEAF ST OMAHA NE 68136</t>
  </si>
  <si>
    <t>LOT 113 WINDSOR EAST</t>
  </si>
  <si>
    <t>17615 GREENLEAF ST OMAHA NE 68136</t>
  </si>
  <si>
    <t>LOT 114 WINDSOR EAST</t>
  </si>
  <si>
    <t>17616 ROBIN DR OMAHA NE 68136</t>
  </si>
  <si>
    <t>LOT 120 WINDSOR EAST</t>
  </si>
  <si>
    <t>17620 ROBIN DR OMAHA NE 68136</t>
  </si>
  <si>
    <t>LOT 121 WINDSOR EAST</t>
  </si>
  <si>
    <t>17624 ROBIN DR OMAHA NE 68136</t>
  </si>
  <si>
    <t>LOT 122 WINDSOR EAST</t>
  </si>
  <si>
    <t>17628 ROBIN DR OMAHA NE 68136</t>
  </si>
  <si>
    <t>LOT 123 WINDSOR EAST</t>
  </si>
  <si>
    <t>17632 ROBIN DR OMAHA NE 68136</t>
  </si>
  <si>
    <t>LOT 124 WINDSOR EAST</t>
  </si>
  <si>
    <t>17636 ROBIN DR OMAHA NE 68136</t>
  </si>
  <si>
    <t>LOT 125 WINDSOR EAST</t>
  </si>
  <si>
    <t>17640 ROBIN DR OMAHA NE 68136</t>
  </si>
  <si>
    <t>LOT 126 WINDSOR EAST</t>
  </si>
  <si>
    <t>17644 ROBIN DR OMAHA NE 68136</t>
  </si>
  <si>
    <t>LOT 127 WINDSOR EAST</t>
  </si>
  <si>
    <t>17648 ROBIN DR OMAHA NE 68136</t>
  </si>
  <si>
    <t>LOT 128 WINDSOR EAST</t>
  </si>
  <si>
    <t>17652 ROBIN DR OMAHA NE 68136</t>
  </si>
  <si>
    <t>LOT 129 WINDSOR EAST</t>
  </si>
  <si>
    <t>17515 GREENLEAF ST OMAHA NE 68136</t>
  </si>
  <si>
    <t>LOT 137 WINDSOR EAST</t>
  </si>
  <si>
    <t>17511 GREENLEAF ST OMAHA NE 68136</t>
  </si>
  <si>
    <t>LOT 138 WINDSOR EAST</t>
  </si>
  <si>
    <t>17514 ROBIN DR OMAHA NE 68136</t>
  </si>
  <si>
    <t>LOT 142 WINDSOR EAST</t>
  </si>
  <si>
    <t>17522 ROBIN DR OMAHA NE 68136</t>
  </si>
  <si>
    <t>LOT 144 WINDSOR EAST</t>
  </si>
  <si>
    <t>17526 ROBIN DR OMAHA NE 68136</t>
  </si>
  <si>
    <t>LOT 145 WINDSOR EAST</t>
  </si>
  <si>
    <t>17530 ROBIN DR OMAHA NE 68136</t>
  </si>
  <si>
    <t>LOT 146 WINDSOR EAST</t>
  </si>
  <si>
    <t>17615 ROBIN DR OMAHA NE 68136</t>
  </si>
  <si>
    <t>LOT 149 WINDSOR EAST</t>
  </si>
  <si>
    <t>17611 ROBIN DR OMAHA NE 68136</t>
  </si>
  <si>
    <t>LOT 150 WINDSOR EAST</t>
  </si>
  <si>
    <t>17607 ROBIN DR OMAHA NE 68136</t>
  </si>
  <si>
    <t>LOT 151 WINDSOR EAST</t>
  </si>
  <si>
    <t>17603 ROBIN DR OMAHA NE 68136</t>
  </si>
  <si>
    <t>LOT 152 WINDSOR EAST</t>
  </si>
  <si>
    <t>17537 ROBIN DR OMAHA NE 68136</t>
  </si>
  <si>
    <t>LOT 153 WINDSOR EAST</t>
  </si>
  <si>
    <t>17533 ROBIN DR OMAHA NE 68136</t>
  </si>
  <si>
    <t>LOT 154 WINDSOR EAST</t>
  </si>
  <si>
    <t>17529 ROBIN DR OMAHA NE 68136</t>
  </si>
  <si>
    <t>LOT 155 WINDSOR EAST</t>
  </si>
  <si>
    <t>17525 ROBIN DR OMAHA NE 68136</t>
  </si>
  <si>
    <t>LOT 156 WINDSOR EAST</t>
  </si>
  <si>
    <t>17521 ROBIN DR OMAHA NE 68136</t>
  </si>
  <si>
    <t>LOT 157 WINDSOR EAST</t>
  </si>
  <si>
    <t>17517 ROBIN DR OMAHA NE 68136</t>
  </si>
  <si>
    <t>LOT 158 WINDSOR EAST</t>
  </si>
  <si>
    <t>17513 ROBIN DR OMAHA NE 68136</t>
  </si>
  <si>
    <t>LOT 159 WINDSOR EAST</t>
  </si>
  <si>
    <t>17509 ROBIN DR OMAHA NE 68136</t>
  </si>
  <si>
    <t>LOT 160 WINDSOR EAST</t>
  </si>
  <si>
    <t>17505 ROBIN DR OMAHA NE 68136</t>
  </si>
  <si>
    <t>LOT 161 WINDSOR EAST</t>
  </si>
  <si>
    <t>OUTLOT A WINDSOR EAST (18.333 AC)</t>
  </si>
  <si>
    <t>OUTLOT B WINDSOR EAST (5.364 AC)</t>
  </si>
  <si>
    <t>PT OUTLOT C WINDSOR EAST (.883 AC)</t>
  </si>
  <si>
    <t>PT OUTLOT C WINDSOR EAST (.091 AC)</t>
  </si>
  <si>
    <t>OUTLOT D WINDSOR EAST (.362 AC)</t>
  </si>
  <si>
    <t>OUTLOT E WINDSOR EAST (.675 AC)</t>
  </si>
  <si>
    <t>OUTLOT F WINDSOR EAST (.421 AC)</t>
  </si>
  <si>
    <t>OUTLOT I WINDSOR EAST (1.621 AC)</t>
  </si>
  <si>
    <t>OUTLOT K WINDSOR EAST (3.015 AC)</t>
  </si>
  <si>
    <t>WINDSOR WEST DEVELOPMENT LLC</t>
  </si>
  <si>
    <t>OUTLOT C WINDSOR WEST (12.864 AC)</t>
  </si>
  <si>
    <t>OUTLOT D WINDSOR WEST (.287 AC)</t>
  </si>
  <si>
    <t>LOT 1 ALTA COLLINA</t>
  </si>
  <si>
    <t>LOT 2 ALTA COLLINA</t>
  </si>
  <si>
    <t>13107 S 49TH ST BELLEVUE NE 68133</t>
  </si>
  <si>
    <t>LOT 3 ALTA COLLINA</t>
  </si>
  <si>
    <t>13111 S 49TH ST BELLEVUE NE 68133</t>
  </si>
  <si>
    <t>LOT 4 ALTA COLLINA</t>
  </si>
  <si>
    <t>13115 S 49TH ST BELLEVUE NE 68133</t>
  </si>
  <si>
    <t>LOT 5 ALTA COLLINA</t>
  </si>
  <si>
    <t>13205 S 49TH ST BELLEVUE NE 68133</t>
  </si>
  <si>
    <t>LOT 6 ALTA COLLINA</t>
  </si>
  <si>
    <t>13209 S 49TH ST BELLEVUE NE 68133</t>
  </si>
  <si>
    <t>LOT 7 ALTA COLLINA</t>
  </si>
  <si>
    <t>13213 S 49TH ST BELLEVUE NE 68133</t>
  </si>
  <si>
    <t>LOT 8 ALTA COLLINA</t>
  </si>
  <si>
    <t>13217 S 49TH ST BELLEVUE NE 68133</t>
  </si>
  <si>
    <t>LOT 9 ALTA COLLINA</t>
  </si>
  <si>
    <t>13221 S 49TH ST BELLEVUE NE 68133</t>
  </si>
  <si>
    <t>LOT 10 ALTA COLLINA</t>
  </si>
  <si>
    <t>13225 S 49TH ST BELLEVUE NE 68133</t>
  </si>
  <si>
    <t>LOT 11 ALTA COLLINA</t>
  </si>
  <si>
    <t>13307 S 49TH ST BELLEVUE NE 68133</t>
  </si>
  <si>
    <t>LOT 12 ALTA COLLINA</t>
  </si>
  <si>
    <t>13311 S 49TH ST BELLEVUE NE 68133</t>
  </si>
  <si>
    <t>LOT 13 ALTA COLLINA</t>
  </si>
  <si>
    <t>13315 S 49TH ST BELLEVUE NE 68133</t>
  </si>
  <si>
    <t>LOT 14 ALTA COLLINA</t>
  </si>
  <si>
    <t>LOT 15 ALTA COLLINA</t>
  </si>
  <si>
    <t>4803 LOOKINGGLASS DR BELLEVUE NE 68133</t>
  </si>
  <si>
    <t>LOT 16 ALTA COLLINA</t>
  </si>
  <si>
    <t>4807 LOOKINGGLASS DR BELLEVUE NE 68133</t>
  </si>
  <si>
    <t>LOT 17 ALTA COLLINA</t>
  </si>
  <si>
    <t>4901 LOOKINGGLASS DR BELLEVUE NE 68133</t>
  </si>
  <si>
    <t>LOT 18 ALTA COLLINA</t>
  </si>
  <si>
    <t>4905 LOOKINGGLASS DR BELLEVUE NE 68133</t>
  </si>
  <si>
    <t>LOT 19 ALTA COLLINA</t>
  </si>
  <si>
    <t>4909 LOOKINGGLASS DR BELLEVUE NE 68133</t>
  </si>
  <si>
    <t>LOT 20 ALTA COLLINA</t>
  </si>
  <si>
    <t>4913 LOOKINGGLASS DR BELLEVUE NE 68133</t>
  </si>
  <si>
    <t>LOT 21 ALTA COLLINA</t>
  </si>
  <si>
    <t>4917 LOOKINGGLASS DR BELLEVUE NE 68133</t>
  </si>
  <si>
    <t>LOT 22 ALTA COLLINA</t>
  </si>
  <si>
    <t>5003 LOOKINGGLASS DR BELLEVUE NE 68133</t>
  </si>
  <si>
    <t>LOT 23 ALTA COLLINA</t>
  </si>
  <si>
    <t>5007 LOOKINGGLASS DR BELLEVUE NE 68133</t>
  </si>
  <si>
    <t>LOT 24 ALTA COLLINA</t>
  </si>
  <si>
    <t>5011 LOOKINGGLASS DR BELLEVUE NE 68133</t>
  </si>
  <si>
    <t>LOT 25 ALTA COLLINA</t>
  </si>
  <si>
    <t>5015 LOOKINGGLASS DR BELLEVUE NE 68133</t>
  </si>
  <si>
    <t>LOT 26 ALTA COLLINA</t>
  </si>
  <si>
    <t>LOT 27 ALTA COLLINA</t>
  </si>
  <si>
    <t>LOT 28 ALTA COLLINA</t>
  </si>
  <si>
    <t>13310 S 51ST ST BELLEVUE NE 68133</t>
  </si>
  <si>
    <t>LOT 29 ALTA COLLINA</t>
  </si>
  <si>
    <t>13306 S 51ST ST BELLEVUE NE 68133</t>
  </si>
  <si>
    <t>LOT 30 ALTA COLLINA</t>
  </si>
  <si>
    <t>13302 S 51ST ST BELLEVUE NE 68133</t>
  </si>
  <si>
    <t>LOT 31 ALTA COLLINA</t>
  </si>
  <si>
    <t>13210 S 51ST ST BELLEVUE NE 68133</t>
  </si>
  <si>
    <t>LOT 32 ALTA COLLINA</t>
  </si>
  <si>
    <t>13206 S 51ST ST BELLEVUE NE 68133</t>
  </si>
  <si>
    <t>LOT 33 ALTA COLLINA</t>
  </si>
  <si>
    <t>13202 S 51ST ST BELLEVUE NE 68133</t>
  </si>
  <si>
    <t>LOT 34 ALTA COLLINA</t>
  </si>
  <si>
    <t>13134 S 52ND ST BELLEVUE NE 68133</t>
  </si>
  <si>
    <t>LOT 35 ALTA COLLINA</t>
  </si>
  <si>
    <t>13130 S 52ND ST BELLEVUE NE 68133</t>
  </si>
  <si>
    <t>LOT 36 ALTA COLLINA</t>
  </si>
  <si>
    <t>13126 S 52ND ST BELLEVUE NE 68133</t>
  </si>
  <si>
    <t>LOT 37 ALTA COLLINA</t>
  </si>
  <si>
    <t>13122 S 52ND ST BELLEVUE NE 68133</t>
  </si>
  <si>
    <t>LOT 38 ALTA COLLINA</t>
  </si>
  <si>
    <t>13118 S 52ND ST BELLEVUE NE 68133</t>
  </si>
  <si>
    <t>LOT 39 ALTA COLLINA</t>
  </si>
  <si>
    <t>13114 S 52ND ST BELLEVUE NE 68133</t>
  </si>
  <si>
    <t>LOT 40 ALTA COLLINA</t>
  </si>
  <si>
    <t>13110 S 52ND ST BELLEVUE NE 68133</t>
  </si>
  <si>
    <t>LOT 41 ALTA COLLINA</t>
  </si>
  <si>
    <t>LOT 42 ALTA COLLINA</t>
  </si>
  <si>
    <t>LOT 43 ALTA COLLINA</t>
  </si>
  <si>
    <t>LOT 44 ALTA COLLINA</t>
  </si>
  <si>
    <t>5114 PINEHILL RD BELLEVUE NE 68133</t>
  </si>
  <si>
    <t>LOT 45 ALTA COLLINA</t>
  </si>
  <si>
    <t>5110 PINEHILL RD BELLEVUE NE 68133</t>
  </si>
  <si>
    <t>LOT 46 ALTA COLLINA</t>
  </si>
  <si>
    <t>5106 PINEHILL RD BELLEVUE NE 68133</t>
  </si>
  <si>
    <t>LOT 47 ALTA COLLINA</t>
  </si>
  <si>
    <t>5102 PINEHILL RD BELLEVUE NE 68133</t>
  </si>
  <si>
    <t>LOT 48 ALTA COLLINA</t>
  </si>
  <si>
    <t>5016 PINEHILL RD BELLEVUE NE 68133</t>
  </si>
  <si>
    <t>LOT 49 ALTA COLLINA</t>
  </si>
  <si>
    <t>5012 PINEHILL RD BELLEVUE NE 68133</t>
  </si>
  <si>
    <t>LOT 50 ALTA COLLINA</t>
  </si>
  <si>
    <t>5008 PINEHILL RD BELLEVUE NE 68133</t>
  </si>
  <si>
    <t>LOT 51 ALTA COLLINA</t>
  </si>
  <si>
    <t>5004 PINEHILL RD BELLEVUE NE 68133</t>
  </si>
  <si>
    <t>LOT 52 ALTA COLLINA</t>
  </si>
  <si>
    <t>4914 PINEHILL RD BELLEVUE NE 68133</t>
  </si>
  <si>
    <t>LOT 53 ALTA COLLINA</t>
  </si>
  <si>
    <t>4910 PINEHILL RD BELLEVUE NE 68133</t>
  </si>
  <si>
    <t>LOT 54 ALTA COLLINA</t>
  </si>
  <si>
    <t>4906 PINEHILL RD BELLEVUE NE 68133</t>
  </si>
  <si>
    <t>LOT 55 ALTA COLLINA</t>
  </si>
  <si>
    <t>LOT 56 ALTA COLLINA</t>
  </si>
  <si>
    <t>LOT 57 ALTA COLLINA</t>
  </si>
  <si>
    <t>4905 PINEHILL RD BELLEVUE NE 68133</t>
  </si>
  <si>
    <t>LOT 58 ALTA COLLINA</t>
  </si>
  <si>
    <t>4909 PINEHILL RD BELLEVUE NE 68133</t>
  </si>
  <si>
    <t>LOT 59 ALTA COLLINA</t>
  </si>
  <si>
    <t>4913 PINEHILL RD BELLEVUE NE 68133</t>
  </si>
  <si>
    <t>LOT 60 ALTA COLLINA</t>
  </si>
  <si>
    <t>5005 PINEHILL RD BELLEVUE NE 68133</t>
  </si>
  <si>
    <t>LOT 61 ALTA COLLINA</t>
  </si>
  <si>
    <t>5009 PINEHILL RD BELLEVUE NE 68133</t>
  </si>
  <si>
    <t>LOT 62 ALTA COLLINA</t>
  </si>
  <si>
    <t>5013 PINEHILL RD BELLEVUE NE 68133</t>
  </si>
  <si>
    <t>LOT 63 ALTA COLLINA</t>
  </si>
  <si>
    <t>5017 PINEHILL RD BELLEVUE NE 68133</t>
  </si>
  <si>
    <t>LOT 64 ALTA COLLINA</t>
  </si>
  <si>
    <t>5101 PINEHILL RD BELLEVUE NE 68133</t>
  </si>
  <si>
    <t>LOT 65 ALTA COLLINA</t>
  </si>
  <si>
    <t>5105 PINEHILL RD BELLEVUE NE 68133</t>
  </si>
  <si>
    <t>LOT 66 ALTA COLLINA</t>
  </si>
  <si>
    <t>5109 PINEHILL RD BELLEVUE NE 68133</t>
  </si>
  <si>
    <t>LOT 67 ALTA COLLINA</t>
  </si>
  <si>
    <t>5113 PINEHILL RD BELLEVUE NE 68133</t>
  </si>
  <si>
    <t>LOT 68 ALTA COLLINA</t>
  </si>
  <si>
    <t>LOT 69 ALTA COLLINA</t>
  </si>
  <si>
    <t>13117 S 52ND ST BELLEVUE NE 68133</t>
  </si>
  <si>
    <t>LOT 70 ALTA COLLINA</t>
  </si>
  <si>
    <t>13121 S 52ND ST BELLEVUE NE 68133</t>
  </si>
  <si>
    <t>LOT 71 ALTA COLLINA</t>
  </si>
  <si>
    <t>LOT 72 ALTA COLLINA</t>
  </si>
  <si>
    <t>5110 FALCON DR BELLEVUE NE 68133</t>
  </si>
  <si>
    <t>LOT 73 ALTA COLLINA</t>
  </si>
  <si>
    <t>5106 FALCON DR BELLEVUE NE 68133</t>
  </si>
  <si>
    <t>LOT 74 ALTA COLLINA</t>
  </si>
  <si>
    <t>5102 FALCON DR BELLEVUE NE 68133</t>
  </si>
  <si>
    <t>LOT 75 ALTA COLLINA</t>
  </si>
  <si>
    <t>5016 FALCON DR BELLEVUE NE 68133</t>
  </si>
  <si>
    <t>LOT 76 ALTA COLLINA</t>
  </si>
  <si>
    <t>5012 FALCON DR BELLEVUE NE 68133</t>
  </si>
  <si>
    <t>LOT 77 ALTA COLLINA</t>
  </si>
  <si>
    <t>5008 FALCON DR BELLEVUE NE 68133</t>
  </si>
  <si>
    <t>LOT 78 ALTA COLLINA</t>
  </si>
  <si>
    <t>5004 FALCON DR BELLEVUE NE 68133</t>
  </si>
  <si>
    <t>LOT 79 ALTA COLLINA</t>
  </si>
  <si>
    <t>4916 FALCON DR BELLEVUE NE 68133</t>
  </si>
  <si>
    <t>LOT 80 ALTA COLLINA</t>
  </si>
  <si>
    <t>4912 FALCON DR BELLEVUE NE 68133</t>
  </si>
  <si>
    <t>LOT 81 ALTA COLLINA</t>
  </si>
  <si>
    <t>4908 FALCON DR BELLEVUE NE 68133</t>
  </si>
  <si>
    <t>LOT 82 ALTA COLLINA</t>
  </si>
  <si>
    <t>LOT 83 ALTA COLLINA</t>
  </si>
  <si>
    <t>LOT 84 ALTA COLLINA</t>
  </si>
  <si>
    <t>13208 S 49TH ST BELLEVUE NE 68133</t>
  </si>
  <si>
    <t>LOT 85 ALTA COLLINA</t>
  </si>
  <si>
    <t>13212 S 49TH ST BELLEVUE NE 68133</t>
  </si>
  <si>
    <t>LOT 86 ALTA COLLINA</t>
  </si>
  <si>
    <t>13216 S 49TH ST BELLEVUE NE 68133</t>
  </si>
  <si>
    <t>LOT 87 ALTA COLLINA</t>
  </si>
  <si>
    <t>13220 S 49TH ST BELLEVUE NE 68133</t>
  </si>
  <si>
    <t>LOT 88 ALTA COLLINA</t>
  </si>
  <si>
    <t>13224 S 49TH ST BELLEVUE NE 68133</t>
  </si>
  <si>
    <t>LOT 89 ALTA COLLINA</t>
  </si>
  <si>
    <t>13306 S 49TH ST BELLEVUE NE 68133</t>
  </si>
  <si>
    <t>LOT 90 ALTA COLLINA</t>
  </si>
  <si>
    <t>13310 S 49TH ST BELLEVUE NE 68133</t>
  </si>
  <si>
    <t>LOT 91 ALTA COLLINA</t>
  </si>
  <si>
    <t>13314 S 49TH ST BELLEVUE NE 68133</t>
  </si>
  <si>
    <t>LOT 92 ALTA COLLINA</t>
  </si>
  <si>
    <t>LOT 93 ALTA COLLINA</t>
  </si>
  <si>
    <t>LOT 94 ALTA COLLINA</t>
  </si>
  <si>
    <t>13313 S 50TH ST BELLEVUE NE 68133</t>
  </si>
  <si>
    <t>LOT 95 ALTA COLLINA</t>
  </si>
  <si>
    <t>13309 S 50TH ST BELLEVUE NE 68133</t>
  </si>
  <si>
    <t>LOT 96 ALTA COLLINA</t>
  </si>
  <si>
    <t>13305 S 50TH ST BELLEVUE NE 68133</t>
  </si>
  <si>
    <t>LOT 97 ALTA COLLINA</t>
  </si>
  <si>
    <t>13223 S 50TH ST BELLEVUE NE 68133</t>
  </si>
  <si>
    <t>LOT 98 ALTA COLLINA</t>
  </si>
  <si>
    <t>13219 S 50TH ST BELLEVUE NE 68133</t>
  </si>
  <si>
    <t>LOT 99 ALTA COLLINA</t>
  </si>
  <si>
    <t>13215 S 50TH ST BELLEVUE NE 68133</t>
  </si>
  <si>
    <t>LOT 100 ALTA COLLINA</t>
  </si>
  <si>
    <t>13211 S 50TH ST BELLEVUE NE 68133</t>
  </si>
  <si>
    <t>LOT 101 ALTA COLLINA</t>
  </si>
  <si>
    <t>13207 S 50TH ST BELLEVUE NE 68133</t>
  </si>
  <si>
    <t>LOT 102 ALTA COLLINA</t>
  </si>
  <si>
    <t>LOT 103 ALTA COLLINA</t>
  </si>
  <si>
    <t>LOT 104 ALTA COLLINA</t>
  </si>
  <si>
    <t>13206 S 50TH ST BELLEVUE NE 68133</t>
  </si>
  <si>
    <t>LOT 105 ALTA COLLINA</t>
  </si>
  <si>
    <t>13210 S 50TH ST BELLEVUE NE 68133</t>
  </si>
  <si>
    <t>LOT 106 ALTA COLLINA</t>
  </si>
  <si>
    <t>13214 S 50TH ST BELLEVUE NE 68133</t>
  </si>
  <si>
    <t>LOT 107 ALTA COLLINA</t>
  </si>
  <si>
    <t>13218 S 50TH ST BELLEVUE NE 68133</t>
  </si>
  <si>
    <t>LOT 108 ALTA COLLINA</t>
  </si>
  <si>
    <t>13222 S 50TH ST BELLEVUE NE 68133</t>
  </si>
  <si>
    <t>LOT 109 ALTA COLLINA</t>
  </si>
  <si>
    <t>13304 S 50TH ST BELLEVUE NE 68133</t>
  </si>
  <si>
    <t>LOT 110 ALTA COLLINA</t>
  </si>
  <si>
    <t>13308 S 50TH ST BELLEVUE NE 68133</t>
  </si>
  <si>
    <t>LOT 111 ALTA COLLINA</t>
  </si>
  <si>
    <t>13312 S 50TH ST BELLEVUE NE 68133</t>
  </si>
  <si>
    <t>LOT 112 ALTA COLLINA</t>
  </si>
  <si>
    <t>LOT 113 ALTA COLLINA</t>
  </si>
  <si>
    <t>LOT 114 ALTA COLLINA</t>
  </si>
  <si>
    <t>13311 S 51ST ST BELLEVUE NE 68133</t>
  </si>
  <si>
    <t>LOT 115 ALTA COLLINA</t>
  </si>
  <si>
    <t>13307 S 51ST ST BELLEVUE NE 68133</t>
  </si>
  <si>
    <t>LOT 116 ALTA COLLINA</t>
  </si>
  <si>
    <t>13303 S 51ST ST BELLEVUE NE 68133</t>
  </si>
  <si>
    <t>LOT 117 ALTA COLLINA</t>
  </si>
  <si>
    <t>13217 S 51ST ST BELLEVUE NE 68133</t>
  </si>
  <si>
    <t>LOT 118 ALTA COLLINA</t>
  </si>
  <si>
    <t>13213 S 51ST ST BELLEVUE NE 68133</t>
  </si>
  <si>
    <t>LOT 119 ALTA COLLINA</t>
  </si>
  <si>
    <t>13209 S 51ST ST BELLEVUE NE 68133</t>
  </si>
  <si>
    <t>LOT 120 ALTA COLLINA</t>
  </si>
  <si>
    <t>13205 S 51ST ST BELLEVUE NE 68133</t>
  </si>
  <si>
    <t>LOT 121 ALTA COLLINA</t>
  </si>
  <si>
    <t>LOT 122 ALTA COLLINA</t>
  </si>
  <si>
    <t>5015 FALCON DR BELLEVUE NE 68133</t>
  </si>
  <si>
    <t>LOT 123 ALTA COLLINA</t>
  </si>
  <si>
    <t>5212 PINEHILL RD BELLEVUE NE 68133</t>
  </si>
  <si>
    <t>LOT 124 ALTA COLLINA</t>
  </si>
  <si>
    <t>5216 PINEHILL RD BELLEVUE NE 68133</t>
  </si>
  <si>
    <t>LOT 125 ALTA COLLINA</t>
  </si>
  <si>
    <t>5302 PINEHILL RD BELLEVUE NE 68133</t>
  </si>
  <si>
    <t>LOT 126 ALTA COLLINA</t>
  </si>
  <si>
    <t>5306 PINEHILL RD BELLEVUE NE 68133</t>
  </si>
  <si>
    <t>LOT 127 ALTA COLLINA</t>
  </si>
  <si>
    <t>5310 PINEHILL RD BELLEVUE NE 68133</t>
  </si>
  <si>
    <t>LOT 128 ALTA COLLINA</t>
  </si>
  <si>
    <t>5314 PINEHILL RD BELLEVUE NE 68133</t>
  </si>
  <si>
    <t>LOT 129 ALTA COLLINA</t>
  </si>
  <si>
    <t>5350 PINEHILL RD BELLEVUE NE 68133</t>
  </si>
  <si>
    <t>LOT 130 ALTA COLLINA</t>
  </si>
  <si>
    <t>5354 PINEHILL RD BELLEVUE NE 68133</t>
  </si>
  <si>
    <t>LOT 131 ALTA COLLINA</t>
  </si>
  <si>
    <t>5358 PINEHILL RD BELLEVUE NE 68133</t>
  </si>
  <si>
    <t>LOT 132 ALTA COLLINA</t>
  </si>
  <si>
    <t>5362 PINEHILL RD BELLEVUE NE 68133</t>
  </si>
  <si>
    <t>LOT 133 ALTA COLLINA</t>
  </si>
  <si>
    <t>5404 PINEHILL RD BELLEVUE NE 68133</t>
  </si>
  <si>
    <t>LOT 134 ALTA COLLINA</t>
  </si>
  <si>
    <t>5408 PINEHILL RD BELLEVUE NE 68133</t>
  </si>
  <si>
    <t>LOT 135 ALTA COLLINA</t>
  </si>
  <si>
    <t>5412 PINEHILL RD BELLEVUE NE 68133</t>
  </si>
  <si>
    <t>LOT 136 ALTA COLLINA</t>
  </si>
  <si>
    <t>LOT 137 ALTA COLLINA</t>
  </si>
  <si>
    <t>LOT 138 ALTA COLLINA</t>
  </si>
  <si>
    <t>LOT 139 ALTA COLLINA</t>
  </si>
  <si>
    <t>13108 S 55TH ST BELLEVUE NE 68133</t>
  </si>
  <si>
    <t>LOT 140 ALTA COLLINA</t>
  </si>
  <si>
    <t>13112 S 55TH ST BELLEVUE NE 68133</t>
  </si>
  <si>
    <t>LOT 141 ALTA COLLINA</t>
  </si>
  <si>
    <t>13116 S 55TH ST BELLEVUE NE 68133</t>
  </si>
  <si>
    <t>LOT 142 ALTA COLLINA</t>
  </si>
  <si>
    <t>13202 S 55TH ST BELLEVUE NE 68133</t>
  </si>
  <si>
    <t>LOT 143 ALTA COLLINA</t>
  </si>
  <si>
    <t>13206 S 55TH ST BELLEVUE NE 68133</t>
  </si>
  <si>
    <t>LOT 144 ALTA COLLINA</t>
  </si>
  <si>
    <t>13210 S 55TH ST BELLEVUE NE 68133</t>
  </si>
  <si>
    <t>LOT 145 ALTA COLLINA</t>
  </si>
  <si>
    <t>13214 S 55TH ST BELLEVUE NE 68133</t>
  </si>
  <si>
    <t>LOT 146 ALTA COLLINA</t>
  </si>
  <si>
    <t>13218 S 55TH ST BELLEVUE NE 68133</t>
  </si>
  <si>
    <t>LOT 147 ALTA COLLINA</t>
  </si>
  <si>
    <t>13304 S 55TH ST BELLEVUE NE 68133</t>
  </si>
  <si>
    <t>LOT 148 ALTA COLLINA</t>
  </si>
  <si>
    <t>13308 S 55TH ST BELLEVUE NE 68133</t>
  </si>
  <si>
    <t>LOT 149 ALTA COLLINA</t>
  </si>
  <si>
    <t>13312 S 55TH ST BELLEVUE NE 68133</t>
  </si>
  <si>
    <t>LOT 150 ALTA COLLINA</t>
  </si>
  <si>
    <t>LOT 151 ALTA COLLINA</t>
  </si>
  <si>
    <t>5509 LOOKINGGLASS DR BELLEVUE NE 68133</t>
  </si>
  <si>
    <t>LOT 152 ALTA COLLINA</t>
  </si>
  <si>
    <t>5505 LOOKINGGLASS DR BELLEVUE NE 68133</t>
  </si>
  <si>
    <t>LOT 153 ALTA COLLINA</t>
  </si>
  <si>
    <t>5413 LOOKINGGLASS DR BELLEVUE NE 68133</t>
  </si>
  <si>
    <t>LOT 154 ALTA COLLINA</t>
  </si>
  <si>
    <t>5401 LOOKINGGLASS DR BELLEVUE NE 68133</t>
  </si>
  <si>
    <t>LOT 155 ALTA COLLINA</t>
  </si>
  <si>
    <t>5367 LOOKINGGLASS DR BELLEVUE NE 68133</t>
  </si>
  <si>
    <t>LOT 156 ALTA COLLINA</t>
  </si>
  <si>
    <t>5363 LOOKINGGLASS DR BELLEVUE NE 68133</t>
  </si>
  <si>
    <t>LOT 157 ALTA COLLINA</t>
  </si>
  <si>
    <t>5359 LOOKINGGLASS DR BELLEVUE NE 68133</t>
  </si>
  <si>
    <t>LOT 158 ALTA COLLINA</t>
  </si>
  <si>
    <t>5355 LOOKINGGLASS DR BELLEVUE NE 68133</t>
  </si>
  <si>
    <t>LOT 159 ALTA COLLINA</t>
  </si>
  <si>
    <t>5319 LOOKINGGLASS DR BELLEVUE NE 68133</t>
  </si>
  <si>
    <t>LOT 160 ALTA COLLINA</t>
  </si>
  <si>
    <t>5315 LOOKINGGLASS DR BELLEVUE NE 68133</t>
  </si>
  <si>
    <t>LOT 161 ALTA COLLINA</t>
  </si>
  <si>
    <t>5311 LOOKINGGLASS DR BELLEVUE NE 68133</t>
  </si>
  <si>
    <t>LOT 162 ALTA COLLINA</t>
  </si>
  <si>
    <t>5307 LOOKINGGLASS DR BELLEVUE NE 68133</t>
  </si>
  <si>
    <t>LOT 163 ALTA COLLINA</t>
  </si>
  <si>
    <t>5303 LOOKINGGLASS DR BELLEVUE NE 68133</t>
  </si>
  <si>
    <t>LOT 164 ALTA COLLINA</t>
  </si>
  <si>
    <t>5221 LOOKINGGLASS DR BELLEVUE NE 68133</t>
  </si>
  <si>
    <t>LOT 165 ALTA COLLINA</t>
  </si>
  <si>
    <t>5217 LOOKINGGLASS DR BELLEVUE NE 68133</t>
  </si>
  <si>
    <t>LOT 166 ALTA COLLINA</t>
  </si>
  <si>
    <t>5213 LOOKINGGLASS DR BELLEVUE NE 68133</t>
  </si>
  <si>
    <t>LOT 167 ALTA COLLINA</t>
  </si>
  <si>
    <t>5209 LOOKINGGLASS DR BELLEVUE NE 68133</t>
  </si>
  <si>
    <t>LOT 168 ALTA COLLINA</t>
  </si>
  <si>
    <t>5205 LOOKINGGLASS DR BELLEVUE NE 68133</t>
  </si>
  <si>
    <t>LOT 169 ALTA COLLINA</t>
  </si>
  <si>
    <t>5201 LOOKINGGLASS DR BELLEVUE NE 68133</t>
  </si>
  <si>
    <t>LOT 170 ALTA COLLINA</t>
  </si>
  <si>
    <t>5210 LOOKINGGLASS DR BELLEVUE NE 68133</t>
  </si>
  <si>
    <t>LOT 171 ALTA COLLINA</t>
  </si>
  <si>
    <t>5214 LOOKINGGLASS DR BELLEVUE NE 68133</t>
  </si>
  <si>
    <t>LOT 172 ALTA COLLINA</t>
  </si>
  <si>
    <t>LOT 173 ALTA COLLINA</t>
  </si>
  <si>
    <t>13311 S 53RD ST BELLEVUE NE 68133</t>
  </si>
  <si>
    <t>LOT 174 ALTA COLLINA</t>
  </si>
  <si>
    <t>13307 S 53RD ST BELLEVUE NE 68133</t>
  </si>
  <si>
    <t>LOT 175 ALTA COLLINA</t>
  </si>
  <si>
    <t>13303 S 53RD ST BELLEVUE NE 68133</t>
  </si>
  <si>
    <t>LOT 176 ALTA COLLINA</t>
  </si>
  <si>
    <t>13219 S 53RD ST BELLEVUE NE 68133</t>
  </si>
  <si>
    <t>LOT 177 ALTA COLLINA</t>
  </si>
  <si>
    <t>13215 S 53RD ST BELLEVUE NE 68133</t>
  </si>
  <si>
    <t>LOT 178 ALTA COLLINA</t>
  </si>
  <si>
    <t>13211 S 53RD ST BELLEVUE NE 68133</t>
  </si>
  <si>
    <t>LOT 179 ALTA COLLINA</t>
  </si>
  <si>
    <t>13207 S 53RD ST BELLEVUE NE 68133</t>
  </si>
  <si>
    <t>LOT 180 ALTA COLLINA</t>
  </si>
  <si>
    <t>13203 S 53RD ST BELLEVUE NE 68133</t>
  </si>
  <si>
    <t>LOT 181 ALTA COLLINA</t>
  </si>
  <si>
    <t>13113 S 53RD ST BELLEVUE NE 68133</t>
  </si>
  <si>
    <t>LOT 182 ALTA COLLINA</t>
  </si>
  <si>
    <t>13109 S 53RD ST BELLEVUE NE 68133</t>
  </si>
  <si>
    <t>LOT 183 ALTA COLLINA</t>
  </si>
  <si>
    <t>13105 S 53RD ST BELLEVUE NE 68133</t>
  </si>
  <si>
    <t>LOT 184 ALTA COLLINA</t>
  </si>
  <si>
    <t>LOT 185 ALTA COLLINA</t>
  </si>
  <si>
    <t>LOT 186 ALTA COLLINA</t>
  </si>
  <si>
    <t>13106 S 53RD ST BELLEVUE NE 68133</t>
  </si>
  <si>
    <t>LOT 187 ALTA COLLINA</t>
  </si>
  <si>
    <t>13110 S 53RD ST BELLEVUE NE 68133</t>
  </si>
  <si>
    <t>LOT 188 ALTA COLLINA</t>
  </si>
  <si>
    <t>13114 S 53RD ST BELLEVUE NE 68133</t>
  </si>
  <si>
    <t>LOT 189 ALTA COLLINA</t>
  </si>
  <si>
    <t>13204 S 53RD ST BELLEVUE NE 68133</t>
  </si>
  <si>
    <t>LOT 190 ALTA COLLINA</t>
  </si>
  <si>
    <t>13208 S 53RD ST BELLEVUE NE 68133</t>
  </si>
  <si>
    <t>LOT 191 ALTA COLLINA</t>
  </si>
  <si>
    <t>13212 S 53RD ST BELLEVUE NE 68133</t>
  </si>
  <si>
    <t>LOT 192 ALTA COLLINA</t>
  </si>
  <si>
    <t>13216 S 53RD ST BELLEVUE NE 68133</t>
  </si>
  <si>
    <t>LOT 193 ALTA COLLINA</t>
  </si>
  <si>
    <t>13220 S 53RD ST BELLEVUE NE 68133</t>
  </si>
  <si>
    <t>LOT 194 ALTA COLLINA</t>
  </si>
  <si>
    <t>13304 S 53RD ST BELLEVUE NE 68133</t>
  </si>
  <si>
    <t>LOT 195 ALTA COLLINA</t>
  </si>
  <si>
    <t>13308 S 53RD ST BELLEVUE NE 68133</t>
  </si>
  <si>
    <t>LOT 196 ALTA COLLINA</t>
  </si>
  <si>
    <t>13312 S 53RD ST BELLEVUE NE 68133</t>
  </si>
  <si>
    <t>LOT 197 ALTA COLLINA</t>
  </si>
  <si>
    <t>LOT 198 ALTA COLLINA</t>
  </si>
  <si>
    <t>LOT 199 ALTA COLLINA</t>
  </si>
  <si>
    <t>13309 S 53RD AVE BELLEVUE NE 68133</t>
  </si>
  <si>
    <t>LOT 200 ALTA COLLINA</t>
  </si>
  <si>
    <t>13305 S 53RD AVE BELLEVUE NE 68133</t>
  </si>
  <si>
    <t>LOT 201 ALTA COLLINA</t>
  </si>
  <si>
    <t>13301 S 53RD AVE BELLEVUE NE 68133</t>
  </si>
  <si>
    <t>LOT 202 ALTA COLLINA</t>
  </si>
  <si>
    <t>13217 S 53RD AVE BELLEVUE NE 68133</t>
  </si>
  <si>
    <t>LOT 203 ALTA COLLINA</t>
  </si>
  <si>
    <t>13213 S 53RD AVE BELLEVUE NE 68133</t>
  </si>
  <si>
    <t>LOT 204 ALTA COLLINA</t>
  </si>
  <si>
    <t>13209 S 53RD AVE BELLEVUE NE 68133</t>
  </si>
  <si>
    <t>LOT 205 ALTA COLLINA</t>
  </si>
  <si>
    <t>13205 S 53RD AVE BELLEVUE NE 68133</t>
  </si>
  <si>
    <t>LOT 206 ALTA COLLINA</t>
  </si>
  <si>
    <t>13201 S 53RD AVE BELLEVUE NE 68133</t>
  </si>
  <si>
    <t>LOT 207 ALTA COLLINA</t>
  </si>
  <si>
    <t>13115 S 53RD AVE BELLEVUE NE 68133</t>
  </si>
  <si>
    <t>LOT 208 ALTA COLLINA</t>
  </si>
  <si>
    <t>13111 S 53RD AVE BELLEVUE NE 68133</t>
  </si>
  <si>
    <t>LOT 209 ALTA COLLINA</t>
  </si>
  <si>
    <t>13107 S 53RD AVE BELLEVUE NE 68133</t>
  </si>
  <si>
    <t>LOT 210 ALTA COLLINA</t>
  </si>
  <si>
    <t>LOT 211 ALTA COLLINA</t>
  </si>
  <si>
    <t>LOT 212 ALTA COLLINA</t>
  </si>
  <si>
    <t>13108 S 53RD AVE BELLEVUE NE 68133</t>
  </si>
  <si>
    <t>LOT 213 ALTA COLLINA</t>
  </si>
  <si>
    <t>13112 S 53RD AVE BELLEVUE NE 68133</t>
  </si>
  <si>
    <t>LOT 214 ALTA COLLINA</t>
  </si>
  <si>
    <t>13116 S 53RD AVE BELLEVUE NE 68133</t>
  </si>
  <si>
    <t>LOT 215 ALTA COLLINA</t>
  </si>
  <si>
    <t>13202 S 53RD AVE BELLEVUE NE 68133</t>
  </si>
  <si>
    <t>LOT 216 ALTA COLLINA</t>
  </si>
  <si>
    <t>13206 S 53RD AVE BELLEVUE NE 68133</t>
  </si>
  <si>
    <t>LOT 217 ALTA COLLINA</t>
  </si>
  <si>
    <t>13210 S 53RD AVE BELLEVUE NE 68133</t>
  </si>
  <si>
    <t>LOT 218 ALTA COLLINA</t>
  </si>
  <si>
    <t>13214 S 53RD AVE BELLEVUE NE 68133</t>
  </si>
  <si>
    <t>LOT 219 ALTA COLLINA</t>
  </si>
  <si>
    <t>13218 S 53RD AVE BELLEVUE NE 68133</t>
  </si>
  <si>
    <t>LOT 220 ALTA COLLINA</t>
  </si>
  <si>
    <t>13302 S 53RD AVE BELLEVUE NE 68133</t>
  </si>
  <si>
    <t>LOT 221 ALTA COLLINA</t>
  </si>
  <si>
    <t>13306 S 53RD AVE BELLEVUE NE 68133</t>
  </si>
  <si>
    <t>LOT 222 ALTA COLLINA</t>
  </si>
  <si>
    <t>13310 S 53RD AVE BELLEVUE NE 68133</t>
  </si>
  <si>
    <t>LOT 223 ALTA COLLINA</t>
  </si>
  <si>
    <t>LOT 224 ALTA COLLINA</t>
  </si>
  <si>
    <t>LOT 225 ALTA COLLINA</t>
  </si>
  <si>
    <t>13313 S 54TH ST BELLEVUE NE 68133</t>
  </si>
  <si>
    <t>LOT 226 ALTA COLLINA</t>
  </si>
  <si>
    <t>13309 S 54TH ST BELLEVUE NE 68133</t>
  </si>
  <si>
    <t>LOT 227 ALTA COLLINA</t>
  </si>
  <si>
    <t>13305 S 54TH ST BELLEVUE NE 68133</t>
  </si>
  <si>
    <t>LOT 228 ALTA COLLINA</t>
  </si>
  <si>
    <t>13219 S 54TH ST BELLEVUE NE 68133</t>
  </si>
  <si>
    <t>LOT 229 ALTA COLLINA</t>
  </si>
  <si>
    <t>13215 S 54TH ST BELLEVUE NE 68133</t>
  </si>
  <si>
    <t>LOT 230 ALTA COLLINA</t>
  </si>
  <si>
    <t>13211 S 54TH ST BELLEVUE NE 68133</t>
  </si>
  <si>
    <t>LOT 231 ALTA COLLINA</t>
  </si>
  <si>
    <t>13207 S 54TH ST BELLEVUE NE 68133</t>
  </si>
  <si>
    <t>LOT 232 ALTA COLLINA</t>
  </si>
  <si>
    <t>13203 S 54TH ST BELLEVUE NE 68133</t>
  </si>
  <si>
    <t>LOT 233 ALTA COLLINA</t>
  </si>
  <si>
    <t>13117 S 54TH ST BELLEVUE NE 68133</t>
  </si>
  <si>
    <t>LOT 234 ALTA COLLINA</t>
  </si>
  <si>
    <t>13113 S 54TH ST BELLEVUE NE 68133</t>
  </si>
  <si>
    <t>LOT 235 ALTA COLLINA</t>
  </si>
  <si>
    <t>13109 S 54TH ST BELLEVUE NE 68133</t>
  </si>
  <si>
    <t>LOT 236 ALTA COLLINA</t>
  </si>
  <si>
    <t>LOT 237 ALTA COLLINA</t>
  </si>
  <si>
    <t>LOT 238 ALTA COLLINA</t>
  </si>
  <si>
    <t>13106 S 54TH ST BELLEVUE NE 68133</t>
  </si>
  <si>
    <t>LOT 239 ALTA COLLINA</t>
  </si>
  <si>
    <t>13110 S 54TH ST BELLEVUE NE 68133</t>
  </si>
  <si>
    <t>LOT 240 ALTA COLLINA</t>
  </si>
  <si>
    <t>13114 S 54TH ST BELLEVUE NE 68133</t>
  </si>
  <si>
    <t>LOT 241 ALTA COLLINA</t>
  </si>
  <si>
    <t>13204 S 54TH ST BELLEVUE NE 68133</t>
  </si>
  <si>
    <t>LOT 242 ALTA COLLINA</t>
  </si>
  <si>
    <t>13208 S 54TH ST BELLEVUE NE 68133</t>
  </si>
  <si>
    <t>LOT 243 ALTA COLLINA</t>
  </si>
  <si>
    <t>13212 S 54TH ST BELLEVUE NE 68133</t>
  </si>
  <si>
    <t>LOT 244 ALTA COLLINA</t>
  </si>
  <si>
    <t>13216 S 54TH ST BELLEVUE NE 68133</t>
  </si>
  <si>
    <t>LOT 245 ALTA COLLINA</t>
  </si>
  <si>
    <t>13220 S 54TH ST BELLEVUE NE 68133</t>
  </si>
  <si>
    <t>LOT 246 ALTA COLLINA</t>
  </si>
  <si>
    <t>13304 S 54TH ST BELLEVUE NE 68133</t>
  </si>
  <si>
    <t>LOT 247 ALTA COLLINA</t>
  </si>
  <si>
    <t>13308 S 54TH ST BELLEVUE NE 68133</t>
  </si>
  <si>
    <t>LOT 248 ALTA COLLINA</t>
  </si>
  <si>
    <t>13312 S 54TH ST BELLEVUE NE 68133</t>
  </si>
  <si>
    <t>LOT 249 ALTA COLLINA</t>
  </si>
  <si>
    <t>LOT 250 ALTA COLLINA</t>
  </si>
  <si>
    <t>LOT 251 ALTA COLLINA</t>
  </si>
  <si>
    <t>13311 S 55TH ST BELLEVUE NE 68133</t>
  </si>
  <si>
    <t>LOT 252 ALTA COLLINA</t>
  </si>
  <si>
    <t>13307 S 55TH ST BELLEVUE NE 68133</t>
  </si>
  <si>
    <t>LOT 253 ALTA COLLINA</t>
  </si>
  <si>
    <t>13303 S 55TH ST BELLEVUE NE 68133</t>
  </si>
  <si>
    <t>LOT 254 ALTA COLLINA</t>
  </si>
  <si>
    <t>13221 S 55TH ST BELLEVUE NE 68133</t>
  </si>
  <si>
    <t>LOT 255 ALTA COLLINA</t>
  </si>
  <si>
    <t>13217 S 55TH ST BELLEVUE NE 68133</t>
  </si>
  <si>
    <t>LOT 256 ALTA COLLINA</t>
  </si>
  <si>
    <t>13213 S 55TH ST BELLEVUE NE 68133</t>
  </si>
  <si>
    <t>LOT 257 ALTA COLLINA</t>
  </si>
  <si>
    <t>13209 S 55TH ST BELLEVUE NE 68133</t>
  </si>
  <si>
    <t>LOT 258 ALTA COLLINA</t>
  </si>
  <si>
    <t>13205 S 55TH ST BELLEVUE NE 68133</t>
  </si>
  <si>
    <t>LOT 259 ALTA COLLINA</t>
  </si>
  <si>
    <t>13113 S 55TH ST BELLEVUE NE 68133</t>
  </si>
  <si>
    <t>LOT 260 ALTA COLLINA</t>
  </si>
  <si>
    <t>13109 S 55TH ST BELLEVUE NE 68133</t>
  </si>
  <si>
    <t>LOT 261 ALTA COLLINA</t>
  </si>
  <si>
    <t>13105 S 55TH ST BELLEVUE NE 68133</t>
  </si>
  <si>
    <t>LOT 262 ALTA COLLINA</t>
  </si>
  <si>
    <t>LOT 263 ALTA COLLINA</t>
  </si>
  <si>
    <t>OUTLOT A ALTA COLLINA</t>
  </si>
  <si>
    <t>OUTLOT B ALTA COLLINA (3.49 AC)</t>
  </si>
  <si>
    <t>OUTLOT C ALTA COLLINA</t>
  </si>
  <si>
    <t>OUTLOT D ALTA COLLINA</t>
  </si>
  <si>
    <t>10206 S 191ST AVE OMAHA NE 68136</t>
  </si>
  <si>
    <t>LOT 165 ASPEN CREEK NORTH</t>
  </si>
  <si>
    <t>TRADEMAIRK HOMES INC</t>
  </si>
  <si>
    <t>19103 RIVIERA DR OMAHA NE 68136</t>
  </si>
  <si>
    <t>LOT 184 ASPEN CREEK NORTH</t>
  </si>
  <si>
    <t>10208 S 191ST ST OMAHA NE 68136</t>
  </si>
  <si>
    <t>LOT 247 ASPEN CREEK NORTH</t>
  </si>
  <si>
    <t>10412 S 191ST ST OMAHA NE 68136</t>
  </si>
  <si>
    <t>LOT 271 ASPEN CREEK NORTH</t>
  </si>
  <si>
    <t>10330 S 191ST ST OMAHA NE 68136</t>
  </si>
  <si>
    <t>LOT 274 ASPEN CREEK NORTH</t>
  </si>
  <si>
    <t>MILLER/BENJAMIN D &amp; JILL M</t>
  </si>
  <si>
    <t>OUTLOT A KRAJICEK ACRES 2ND (3.74 AC)</t>
  </si>
  <si>
    <t>ANZUREZ/ALMA</t>
  </si>
  <si>
    <t>16505 MAIN ST BELLEVUE NE 68123</t>
  </si>
  <si>
    <t>PT LOT 2 LA PLATTE REPLAT 1</t>
  </si>
  <si>
    <t>MACKLING/CHAD</t>
  </si>
  <si>
    <t>LOT 3 EMERALD LAWN &amp; LANDSCAPING (28.61 AC)</t>
  </si>
  <si>
    <t>OUTLOT I WINDSOR WEST (0.241 AC)</t>
  </si>
  <si>
    <t>SARPY COUNTY</t>
  </si>
  <si>
    <t>(ROW) GOV LOT 4 &amp; NW1/4 NW1/4 32-13-12 (0.12 AC)</t>
  </si>
  <si>
    <t>1603 JEFFERSON CT BELLEVUE NE 68005</t>
  </si>
  <si>
    <t>LOT 2 JEFFERSON PLACE ADDITION (REDEVELOPMENT AUTHORITY RECORD)</t>
  </si>
  <si>
    <t>1605 JEFFERSON CT BELLEVUE NE 68005</t>
  </si>
  <si>
    <t>LOT 3 JEFFERSON PLACE ADDITION (REDEVELOPMENT AUTHORITY RECORD)</t>
  </si>
  <si>
    <t>1607 JEFFERSON CT BELLEVUE NE 68005</t>
  </si>
  <si>
    <t>LOT 4 JEFFERSON PLACE ADDITION (REDEVELOPMENT AUTHORITY RECORD)</t>
  </si>
  <si>
    <t>RAY JEFFREY B &amp; CYNTHIA M D</t>
  </si>
  <si>
    <t>1609 JEFFERSON CT BELLEVUE NE 68005</t>
  </si>
  <si>
    <t>LOT 5 JEFFERSON PLACE ADDITION (REDEVELOPMENT AUTHORITY RECORD)</t>
  </si>
  <si>
    <t>1611 JEFFERSON CT BELLEVUE NE 68005</t>
  </si>
  <si>
    <t>LOT 6 JEFFERSON PLACE ADDITION (REDEVELOPMENT AUTHORITY RECORD)</t>
  </si>
  <si>
    <t>1613 JEFFERSON ST BELLEVUE NE 68005</t>
  </si>
  <si>
    <t>LOT 7 JEFFERSON PLACE ADDITION (REDEVELOPMENT AUTHORITY RECORD)</t>
  </si>
  <si>
    <t>OUTLOT A JEFFERSON PLACE ADDITION (0.90 AC)(REDEVELOPMENT AUTHORITY RECORD)</t>
  </si>
  <si>
    <t>11760 S 125TH ST PAPILLION NE 68046</t>
  </si>
  <si>
    <t>LOT 205 ASHBURY HILLS</t>
  </si>
  <si>
    <t>11758 S 125TH ST PAPILLION NE 68046</t>
  </si>
  <si>
    <t>LOT 206 ASHBURY HILLS</t>
  </si>
  <si>
    <t>11756 S 125TH ST PAPILLION NE 68046</t>
  </si>
  <si>
    <t>LOT 207 ASHBURY HILLS</t>
  </si>
  <si>
    <t>11754 S 125TH ST PAPILLION NE 68046</t>
  </si>
  <si>
    <t>LOT 208 ASHBURY HILLS</t>
  </si>
  <si>
    <t>11752 S 125TH ST PAPILLION NE 68046</t>
  </si>
  <si>
    <t>LOT 209 ASHBURY HILLS</t>
  </si>
  <si>
    <t>11750 S 125TH ST PAPILLION NE 68046</t>
  </si>
  <si>
    <t>LOT 210 ASHBURY HILLS</t>
  </si>
  <si>
    <t>11748 S 125TH ST PAPILLION NE 68046</t>
  </si>
  <si>
    <t>LOT 211 ASHBURY HILLS</t>
  </si>
  <si>
    <t>11746 S 125TH ST PAPILLION NE 68046</t>
  </si>
  <si>
    <t>LOT 212 ASHBURY HILLS</t>
  </si>
  <si>
    <t>11744 S 125TH ST PAPILLION NE 68046</t>
  </si>
  <si>
    <t>LOT 213 ASHBURY HILLS</t>
  </si>
  <si>
    <t>11742 S 125TH ST PAPILLION NE 68046</t>
  </si>
  <si>
    <t>LOT 214 ASHBURY HILLS</t>
  </si>
  <si>
    <t>11740 S 125TH ST PAPILLION NE 68046</t>
  </si>
  <si>
    <t>LOT 215 ASHBURY HILLS</t>
  </si>
  <si>
    <t>11738 S 125TH ST PAPILLION NE 68046</t>
  </si>
  <si>
    <t>LOT 216 ASHBURY HILLS</t>
  </si>
  <si>
    <t>11736 S 125TH ST PAPILLION NE 68046</t>
  </si>
  <si>
    <t>LOT 217 ASHBURY HILLS</t>
  </si>
  <si>
    <t>11734 S 125TH ST PAPILLION NE 68046</t>
  </si>
  <si>
    <t>LOT 218 ASHBURY HILLS</t>
  </si>
  <si>
    <t>11732 S 125TH ST PAPILLION NE 68046</t>
  </si>
  <si>
    <t>LOT 219 ASHBURY HILLS</t>
  </si>
  <si>
    <t>11730 S 125TH ST PAPILLION NE 68046</t>
  </si>
  <si>
    <t>LOT 220 ASHBURY HILLS</t>
  </si>
  <si>
    <t>11728 S 125TH ST PAPILLION NE 68046</t>
  </si>
  <si>
    <t>LOT 221 ASHBURY HILLS</t>
  </si>
  <si>
    <t>11726 S 125TH ST PAPILLION NE 68046</t>
  </si>
  <si>
    <t>LOT 222 ASHBURY HILLS</t>
  </si>
  <si>
    <t>11724 S 125TH ST PAPILLION NE 68046</t>
  </si>
  <si>
    <t>LOT 223 ASHBURY HILLS</t>
  </si>
  <si>
    <t>11722 S 125TH ST PAPILLION NE 68046</t>
  </si>
  <si>
    <t>LOT 224 ASHBURY HILLS</t>
  </si>
  <si>
    <t>11720 S 125TH ST PAPILLION NE 68046</t>
  </si>
  <si>
    <t>LOT 225 ASHBURY HILLS</t>
  </si>
  <si>
    <t>11718 S 125TH ST PAPILLION NE 68046</t>
  </si>
  <si>
    <t>LOT 226 ASHBURY HILLS</t>
  </si>
  <si>
    <t>11716 S 125TH ST PAPILLION NE 68046</t>
  </si>
  <si>
    <t>LOT 227 ASHBURY HILLS</t>
  </si>
  <si>
    <t>11714 S 125TH ST PAPILLION NE 68046</t>
  </si>
  <si>
    <t>LOT 228 ASHBURY HILLS</t>
  </si>
  <si>
    <t>11712 S 125TH ST PAPILLION NE 68046</t>
  </si>
  <si>
    <t>LOT 229 ASHBURY HILLS</t>
  </si>
  <si>
    <t>11710 S 125TH ST PAPILLION NE 68046</t>
  </si>
  <si>
    <t>LOT 230 ASHBURY HILLS</t>
  </si>
  <si>
    <t>LOT 235 ASHBURY HILLS</t>
  </si>
  <si>
    <t>12511 HORIZON CIR PAPILLION NE 68046</t>
  </si>
  <si>
    <t>LOT 236 ASHBURY HILLS</t>
  </si>
  <si>
    <t>12515 HORIZON CIR PAPILLION NE 68046</t>
  </si>
  <si>
    <t>LOT 237 ASHBURY HILLS</t>
  </si>
  <si>
    <t>12512 HORIZON CIR PAPILLION NE 68046</t>
  </si>
  <si>
    <t>LOT 241 ASHBURY HILLS</t>
  </si>
  <si>
    <t>12508 HORIZON CIR PAPILLION NE 68046</t>
  </si>
  <si>
    <t>LOT 242 ASHBURY HILLS</t>
  </si>
  <si>
    <t>12504 HORIZON CIR PAPILLION NE 68046</t>
  </si>
  <si>
    <t>LOT 243 ASHBURY HILLS</t>
  </si>
  <si>
    <t>12464 HORIZON ST PAPILLION NE 68046</t>
  </si>
  <si>
    <t>LOT 244 ASHBURY HILLS</t>
  </si>
  <si>
    <t>12460 HORIZON ST PAPILLION NE 68046</t>
  </si>
  <si>
    <t>LOT 245 ASHBURY HILLS</t>
  </si>
  <si>
    <t>12456 HORIZON ST PAPILLION NE 68046</t>
  </si>
  <si>
    <t>LOT 246 ASHBURY HILLS</t>
  </si>
  <si>
    <t>12452 HORIZON ST PAPILLION NE 68046</t>
  </si>
  <si>
    <t>LOT 247 ASHBURY HILLS</t>
  </si>
  <si>
    <t>12414 HORIZON ST PAPILLION NE 68046</t>
  </si>
  <si>
    <t>LOT 248 ASHBURY HILLS</t>
  </si>
  <si>
    <t>LOT 249 ASHBURY HILLS</t>
  </si>
  <si>
    <t>11661 S 124TH AVE PAPILLION NE 68046</t>
  </si>
  <si>
    <t>LOT 250 ASHBURY HILLS</t>
  </si>
  <si>
    <t>11665 S 124TH AVE PAPILLION NE 68046</t>
  </si>
  <si>
    <t>LOT 251 ASHBURY HILLS</t>
  </si>
  <si>
    <t>11669 S 124TH AVE PAPILLION NE 68046</t>
  </si>
  <si>
    <t>LOT 252 ASHBURY HILLS</t>
  </si>
  <si>
    <t>11673 S 124TH AVE PAPILLION NE 68046</t>
  </si>
  <si>
    <t>LOT 253 ASHBURY HILLS</t>
  </si>
  <si>
    <t>11677 S 124TH AVE PAPILLION NE 68046</t>
  </si>
  <si>
    <t>LOT 254 ASHBURY HILLS</t>
  </si>
  <si>
    <t>11681 S 124TH AVE PAPILLION NE 68046</t>
  </si>
  <si>
    <t>LOT 255 ASHBURY HILLS</t>
  </si>
  <si>
    <t>11685 S 124TH AVE PAPILLION NE 68046</t>
  </si>
  <si>
    <t>LOT 256 ASHBURY HILLS</t>
  </si>
  <si>
    <t>11713 S 124TH AVE PAPILLION NE 68046</t>
  </si>
  <si>
    <t>LOT 258 ASHBURY HILLS</t>
  </si>
  <si>
    <t>LOT 259 ASHBURY HILLS</t>
  </si>
  <si>
    <t>11722 S 124TH AVE PAPILLION NE 68046</t>
  </si>
  <si>
    <t>LOT 260 ASHBURY HILLS</t>
  </si>
  <si>
    <t>11718 S 124TH AVE PAPILLION NE 68046</t>
  </si>
  <si>
    <t>LOT 261 ASHBURY HILLS</t>
  </si>
  <si>
    <t>LOT 262 ASHBURY HILLS</t>
  </si>
  <si>
    <t>LOT 263 ASHBURY HILLS</t>
  </si>
  <si>
    <t>11686 S 124TH AVE PAPILLION NE 68046</t>
  </si>
  <si>
    <t>LOT 264 ASHBURY HILLS</t>
  </si>
  <si>
    <t>11682 S 124TH AVE PAPILLION NE 68046</t>
  </si>
  <si>
    <t>LOT 265 ASHBURY HILLS</t>
  </si>
  <si>
    <t>11666 S 124TH AVE PAPILLION NE 68046</t>
  </si>
  <si>
    <t>LOT 269 ASHBURY HILLS</t>
  </si>
  <si>
    <t>11662 S 124TH AVE PAPILLION NE 68046</t>
  </si>
  <si>
    <t>LOT 270 ASHBURY HILLS</t>
  </si>
  <si>
    <t>11658 S 124TH AVE PAPILLION NE 68046</t>
  </si>
  <si>
    <t>LOT 271 ASHBURY HILLS</t>
  </si>
  <si>
    <t>LOT 272 ASHBURY HILLS</t>
  </si>
  <si>
    <t>11663 S 125TH ST PAPILLION NE 68046</t>
  </si>
  <si>
    <t>LOT 276 ASHBURY HILLS</t>
  </si>
  <si>
    <t>11667 S 125TH ST PAPILLION NE 68046</t>
  </si>
  <si>
    <t>LOT 277 ASHBURY HILLS</t>
  </si>
  <si>
    <t>11671 S 125TH ST PAPILLION NE 68046</t>
  </si>
  <si>
    <t>LOT 278 ASHBURY HILLS</t>
  </si>
  <si>
    <t>11675 S 125TH ST PAPILLION NE 68046</t>
  </si>
  <si>
    <t>LOT 279 ASHBURY HILLS</t>
  </si>
  <si>
    <t>11679 S 125TH ST PAPILLION NE 68046</t>
  </si>
  <si>
    <t>LOT 280 ASHBURY HILLS</t>
  </si>
  <si>
    <t>11683 S 125TH ST PAPILLION NE 68046</t>
  </si>
  <si>
    <t>LOT 281 ASHBURY HILLS</t>
  </si>
  <si>
    <t>11705 S 125TH ST PAPILLION NE 68046</t>
  </si>
  <si>
    <t>LOT 282 ASHBURY HILLS</t>
  </si>
  <si>
    <t>LOT 283 ASHBURY HILLS</t>
  </si>
  <si>
    <t>11721 S 125TH ST PAPILLION NE 68046</t>
  </si>
  <si>
    <t>LOT 286 ASHBURY HILLS</t>
  </si>
  <si>
    <t>11723 S 125TH ST PAPILLION NE 68046</t>
  </si>
  <si>
    <t>LOT 287 ASHBURY HILLS</t>
  </si>
  <si>
    <t>11725 S 125TH ST PAPILLION NE 68046</t>
  </si>
  <si>
    <t>LOT 288 ASHBURY HILLS</t>
  </si>
  <si>
    <t>11727 S 125TH ST PAPILLION NE 68046</t>
  </si>
  <si>
    <t>LOT 289 ASHBURY HILLS</t>
  </si>
  <si>
    <t>11729 S 125TH ST PAPILLION NE 68046</t>
  </si>
  <si>
    <t>LOT 290 ASHBURY HILLS</t>
  </si>
  <si>
    <t>11731 S 125TH ST PAPILLION NE 68046</t>
  </si>
  <si>
    <t>LOT 291 ASHBURY HILLS</t>
  </si>
  <si>
    <t>11733 S 125TH ST PAPILLION NE 68046</t>
  </si>
  <si>
    <t>LOT 292 ASHBURY HILLS</t>
  </si>
  <si>
    <t>11735 S 125TH ST PAPILLION NE 68046</t>
  </si>
  <si>
    <t>LOT 293 ASHBURY HILLS</t>
  </si>
  <si>
    <t>11737 S 125TH ST PAPILLION NE 68046</t>
  </si>
  <si>
    <t>LOT 294 ASHBURY HILLS</t>
  </si>
  <si>
    <t>11739 S 125TH ST PAPILLION NE 68046</t>
  </si>
  <si>
    <t>LOT 295 ASHBURY HILLS</t>
  </si>
  <si>
    <t>11741 S 125TH ST PAPILLION NE 68046</t>
  </si>
  <si>
    <t>LOT 296 ASHBURY HILLS</t>
  </si>
  <si>
    <t>11743 S 125TH ST PAPILLION NE 68046</t>
  </si>
  <si>
    <t>LOT 297 ASHBURY HILLS</t>
  </si>
  <si>
    <t>11745 S 125TH ST PAPILLION NE 68046</t>
  </si>
  <si>
    <t>LOT 298 ASHBURY HILLS</t>
  </si>
  <si>
    <t>11747 S 125TH ST PAPILLION NE 68046</t>
  </si>
  <si>
    <t>LOT 299 ASHBURY HILLS</t>
  </si>
  <si>
    <t>11749 S 125TH ST PAPILLION NE 68046</t>
  </si>
  <si>
    <t>LOT 300 ASHBURY HILLS</t>
  </si>
  <si>
    <t>11751 S 125TH ST PAPILLION NE 68046</t>
  </si>
  <si>
    <t>LOT 301 ASHBURY HILLS</t>
  </si>
  <si>
    <t>11753 S 125TH ST PAPILLION NE 68046</t>
  </si>
  <si>
    <t>LOT 302 ASHBURY HILLS</t>
  </si>
  <si>
    <t>11755 S 125TH ST PAPILLION NE 68046</t>
  </si>
  <si>
    <t>LOT 303 ASHBURY HILLS</t>
  </si>
  <si>
    <t>11757 S 125TH ST PAPILLION NE 68046</t>
  </si>
  <si>
    <t>LOT 304 ASHBURY HILLS</t>
  </si>
  <si>
    <t>11759 S 125TH ST PAPILLION NE 68046</t>
  </si>
  <si>
    <t>LOT 305 ASHBURY HILLS</t>
  </si>
  <si>
    <t>11761 S 125TH ST PAPILLION NE 68046</t>
  </si>
  <si>
    <t>LOT 306 ASHBURY HILLS</t>
  </si>
  <si>
    <t>LOT 307 ASHBURY HILLS</t>
  </si>
  <si>
    <t>LOT 308 ASHBURY HILLS</t>
  </si>
  <si>
    <t>12386 LAKE VISTA DR PAPILLION NE 68046</t>
  </si>
  <si>
    <t>LOT 309 ASHBURY HILLS</t>
  </si>
  <si>
    <t>12382 LAKE VISTA DR PAPILLION NE 68046</t>
  </si>
  <si>
    <t>LOT 310 ASHBURY HILLS</t>
  </si>
  <si>
    <t>12378 LAKE VISTA DR PAPILLION NE 68046</t>
  </si>
  <si>
    <t>LOT 311 ASHBURY HILLS</t>
  </si>
  <si>
    <t>12374 LAKE VISTA DR PAPILLION NE 68046</t>
  </si>
  <si>
    <t>LOT 312 ASHBURY HILLS</t>
  </si>
  <si>
    <t>12370 LAKE VISTA DR PAPILLION NE 68046</t>
  </si>
  <si>
    <t>LOT 313 ASHBURY HILLS</t>
  </si>
  <si>
    <t>12366 LAKE VISTA DR PAPILLION NE 68046</t>
  </si>
  <si>
    <t>LOT 314 ASHBURY HILLS</t>
  </si>
  <si>
    <t>12362 LAKE VISTA DR PAPILLION NE 68046</t>
  </si>
  <si>
    <t>LOT 315 ASHBURY HILLS</t>
  </si>
  <si>
    <t>12358 LAKE VISTA DR PAPILLION NE 68046</t>
  </si>
  <si>
    <t>LOT 316 ASHBURY HILLS</t>
  </si>
  <si>
    <t>12354 LAKE VISTA DR PAPILLION NE 68046</t>
  </si>
  <si>
    <t>LOT 317 ASHBURY HILLS</t>
  </si>
  <si>
    <t>LOT 318 ASHBURY HILLS</t>
  </si>
  <si>
    <t>LOT 319 ASHBURY HILLS</t>
  </si>
  <si>
    <t>12359 LAKE VISTA DR PAPILLION NE 68046</t>
  </si>
  <si>
    <t>LOT 320 ASHBURY HILLS</t>
  </si>
  <si>
    <t>12371 LAKE VISTA DR PAPILLION NE 68046</t>
  </si>
  <si>
    <t>LOT 323 ASHBURY HILLS</t>
  </si>
  <si>
    <t>12375 LAKE VISTA DR PAPILLION NE 68046</t>
  </si>
  <si>
    <t>LOT 324 ASHBURY HILLS</t>
  </si>
  <si>
    <t>12379 LAKE VISTA DR PAPILLION NE 68046</t>
  </si>
  <si>
    <t>LOT 325 ASHBURY HILLS</t>
  </si>
  <si>
    <t>12383 LAKE VISTA DR PAPILLION NE 68046</t>
  </si>
  <si>
    <t>LOT 326 ASHBURY HILLS</t>
  </si>
  <si>
    <t>LOT 327 ASHBURY HILLS</t>
  </si>
  <si>
    <t>LOT 328 ASHBURY HILLS</t>
  </si>
  <si>
    <t>12384 WINDSOR DR PAPILLION NE 68046</t>
  </si>
  <si>
    <t>LOT 329 ASHBURY HILLS</t>
  </si>
  <si>
    <t>12380 WINDSOR DR PAPILLION NE 68046</t>
  </si>
  <si>
    <t>LOT 330 ASHBURY HILLS</t>
  </si>
  <si>
    <t>12360 WINDSOR DR PAPILLION NE 68046</t>
  </si>
  <si>
    <t>LOT 335 ASHBURY HILLS</t>
  </si>
  <si>
    <t>12359 WINDSOR DR PAPILLION NE 68046</t>
  </si>
  <si>
    <t>LOT 336 ASHBURY HILLS</t>
  </si>
  <si>
    <t>12363 WINDSOR DR PAPILLION NE 68046</t>
  </si>
  <si>
    <t>LOT 337 ASHBURY HILLS</t>
  </si>
  <si>
    <t>12375 WINDSOR DR PAPILLION NE 68046</t>
  </si>
  <si>
    <t>LOT 340 ASHBURY HILLS</t>
  </si>
  <si>
    <t>12379 WINDSOR DR PAPILLION NE 68046</t>
  </si>
  <si>
    <t>LOT 341 ASHBURY HILLS</t>
  </si>
  <si>
    <t>12383 WINDSOR DR PAPILLION NE 68046</t>
  </si>
  <si>
    <t>LOT 342 ASHBURY HILLS</t>
  </si>
  <si>
    <t>12387 WINDSOR DR PAPILLION NE 68046</t>
  </si>
  <si>
    <t>LOT 343 ASHBURY HILLS</t>
  </si>
  <si>
    <t>OUTLOT L ASHBURY HILLS (0.245 AC)</t>
  </si>
  <si>
    <t>SHOWCASE HOMES INC</t>
  </si>
  <si>
    <t>PT OUTLOT A HIDDEN HOLLOW REPLAT 1 (0.022 AC) (2 CARDS/2 OWNERS)</t>
  </si>
  <si>
    <t>12408 FENWICK ST PAPILLION NE 68046</t>
  </si>
  <si>
    <t>PT LOT 1 ASHBURY HILLS REPLAT THREE  (2 CARDS/2 TAX DISTRICTS)</t>
  </si>
  <si>
    <t>HARVEST CREEK LLC</t>
  </si>
  <si>
    <t>SE1/4 EXC LINCOLN RIDGE &amp; EXC IRREG NORTHWESTERLY 6.79 AC ALL FOR SID 369 26-14-10 (112.89 AC)</t>
  </si>
  <si>
    <t>NORTHERLY .10 AC SE1/4 EXC FROM SID 369 26-14-10 (.10 AC)</t>
  </si>
  <si>
    <t>SARPY COUNTY NEBRASKA</t>
  </si>
  <si>
    <t>(ROW) PT TAX LOT H N OF BUFFALO RD 31-13-12 (.10 AC)</t>
  </si>
  <si>
    <t>ZAJAC/DAVID &amp; SUSAN K</t>
  </si>
  <si>
    <t>20004 FAIRVIEW RD GRETNA NE 68028</t>
  </si>
  <si>
    <t>LOT 1 SUN COUNTRY REPLAT 1 (5.38 AC)</t>
  </si>
  <si>
    <t>OUTLOT K WINDSOR WEST EXC ROW (4.039 AC)</t>
  </si>
  <si>
    <t>YOUNG STEVEN J &amp; SUZANN L</t>
  </si>
  <si>
    <t>OUTLOT A REINEKE ACRES (15.507 AC)</t>
  </si>
  <si>
    <t>108 GILES LLC</t>
  </si>
  <si>
    <t>10763 HILLCREST PLZ LA VISTA NE 68128</t>
  </si>
  <si>
    <t>PT LOT 1 VAL VISTA REPLAT SEVEN  (2 CARDS/2 OWNERS)</t>
  </si>
  <si>
    <t>OMAHA NATIONAL BANK, TRUSTEE</t>
  </si>
  <si>
    <t>TAX LOT 2B 1-12-11 (0.91 AC)</t>
  </si>
  <si>
    <t>THE BRANT AT PAPILLION LLC</t>
  </si>
  <si>
    <t>OUTLOT A SUMMERFIELD 2ND ADDITION REPLAT 5 (0.459 AC)</t>
  </si>
  <si>
    <t>10715 S 218TH ST GRETNA NE 68028</t>
  </si>
  <si>
    <t>LOT 1 HARVEST CREEK</t>
  </si>
  <si>
    <t>10711 S 218TH ST GRETNA NE 68028</t>
  </si>
  <si>
    <t>LOT 2 HARVEST CREEK</t>
  </si>
  <si>
    <t>10707 S 218TH ST GRETNA NE 68028</t>
  </si>
  <si>
    <t>LOT 3 HARVEST CREEK</t>
  </si>
  <si>
    <t>10703 S 218TH ST GRETNA NE 68028</t>
  </si>
  <si>
    <t>LOT 4 HARVEST CREEK</t>
  </si>
  <si>
    <t>21804 BUCHANAN PKWY GRETNA NE 68028</t>
  </si>
  <si>
    <t>LOT 5 HARVEST CREEK</t>
  </si>
  <si>
    <t>21808 BUCHANAN PKWY GRETNA NE 68028</t>
  </si>
  <si>
    <t>LOT 6 HARVEST CREEK</t>
  </si>
  <si>
    <t>21812 BUCHANAN PKWY GRETNA NE 68028</t>
  </si>
  <si>
    <t>LOT 7 HARVEST CREEK</t>
  </si>
  <si>
    <t>21816 BUCHANAN PKWY GRETNA NE 68028</t>
  </si>
  <si>
    <t>LOT 8 HARVEST CREEK</t>
  </si>
  <si>
    <t>21820 BUCHANAN PKWY GRETNA NE 68028</t>
  </si>
  <si>
    <t>LOT 9 HARVEST CREEK</t>
  </si>
  <si>
    <t>21824 BUCHANAN PKWY GRETNA NE 68028</t>
  </si>
  <si>
    <t>LOT 10 HARVEST CREEK</t>
  </si>
  <si>
    <t>10716 S 218TH ST GRETNA NE 68028</t>
  </si>
  <si>
    <t>LOT 11 HARVEST CREEK</t>
  </si>
  <si>
    <t>10712 S 218TH ST GRETNA NE 68028</t>
  </si>
  <si>
    <t>LOT 12 HARVEST CREEK</t>
  </si>
  <si>
    <t>LOT 13 HARVEST CREEK</t>
  </si>
  <si>
    <t>21817 BUCHANAN PKWY GRETNA NE 68028</t>
  </si>
  <si>
    <t>LOT 14 HARVEST CREEK</t>
  </si>
  <si>
    <t>21821 BUCHANAN PKWY GRETNA NE 68028</t>
  </si>
  <si>
    <t>LOT 15 HARVEST CREEK</t>
  </si>
  <si>
    <t>21825 BUCHANAN PKWY GRETNA NE 68028</t>
  </si>
  <si>
    <t>LOT 16 HARVEST CREEK</t>
  </si>
  <si>
    <t>LOT 17 HARVEST CREEK</t>
  </si>
  <si>
    <t>21918 BUCHANAN PKWY GRETNA NE 68028</t>
  </si>
  <si>
    <t>LOT 18 HARVEST CREEK</t>
  </si>
  <si>
    <t>21914 BUCHANAN PKWY GRETNA NE 68028</t>
  </si>
  <si>
    <t>LOT 19 HARVEST CREEK</t>
  </si>
  <si>
    <t>21910 S 219TH ST GRETNA NE 68028</t>
  </si>
  <si>
    <t>LOT 20 HARVEST CREEK</t>
  </si>
  <si>
    <t>21906 BUCHANAN PKWY GRETNA NE 68028</t>
  </si>
  <si>
    <t>LOT 21 HARVEST CREEK</t>
  </si>
  <si>
    <t>LOT 22 HARVEST CREEK</t>
  </si>
  <si>
    <t>LOT 23 HARVEST CREEK</t>
  </si>
  <si>
    <t>10807 S 219TH ST GRETNA NE 68028</t>
  </si>
  <si>
    <t>LOT 24 HARVEST CREEK</t>
  </si>
  <si>
    <t>10811 S 219TH ST GRETNA NE 68028</t>
  </si>
  <si>
    <t>LOT 25 HARVEST CREEK</t>
  </si>
  <si>
    <t>10815 S 219TH ST GRETNA NE 68028</t>
  </si>
  <si>
    <t>LOT 26 HARVEST CREEK</t>
  </si>
  <si>
    <t>LOT 27 HARVEST CREEK</t>
  </si>
  <si>
    <t>LOT 28 HARVEST CREEK</t>
  </si>
  <si>
    <t>10907 S 219TH ST GRETNA NE 68028</t>
  </si>
  <si>
    <t>LOT 29 HARVEST CREEK</t>
  </si>
  <si>
    <t>10911 S 219TH ST GRETNA NE 68028</t>
  </si>
  <si>
    <t>LOT 30 HARVEST CREEK</t>
  </si>
  <si>
    <t>10915 S 219TH ST GRETNA NE 68028</t>
  </si>
  <si>
    <t>LOT 31 HARVEST CREEK</t>
  </si>
  <si>
    <t>10917 S 219TH ST GRETNA NE 68028</t>
  </si>
  <si>
    <t>LOT 32 HARVEST CREEK</t>
  </si>
  <si>
    <t>11005 S 219TH ST GRETNA NE 68028</t>
  </si>
  <si>
    <t>LOT 33 HARVEST CREEK</t>
  </si>
  <si>
    <t>11009 S 219TH ST GRETNA NE 68028</t>
  </si>
  <si>
    <t>LOT 34 HARVEST CREEK</t>
  </si>
  <si>
    <t>11013 S 219TH ST GRETNA NE 68028</t>
  </si>
  <si>
    <t>LOT 35 HARVEST CREEK</t>
  </si>
  <si>
    <t>11017 S 219TH ST GRETNA NE 68028</t>
  </si>
  <si>
    <t>LOT 36 HARVEST CREEK</t>
  </si>
  <si>
    <t>11021 S 219TH ST GRETNA NE 68028</t>
  </si>
  <si>
    <t>LOT 37 HARVEST CREEK</t>
  </si>
  <si>
    <t>11025 S 219TH ST GRETNA NE 68028</t>
  </si>
  <si>
    <t>LOT 38 HARVEST CREEK</t>
  </si>
  <si>
    <t>11029 S 219TH ST GRETNA NE 68028</t>
  </si>
  <si>
    <t>LOT 39 HARVEST CREEK</t>
  </si>
  <si>
    <t>11033 S 219TH ST GRETNA NE 68028</t>
  </si>
  <si>
    <t>LOT 40 HARVEST CREEK</t>
  </si>
  <si>
    <t>11037 S 219TH ST GRETNA NE 68028</t>
  </si>
  <si>
    <t>LOT 41 HARVEST CREEK</t>
  </si>
  <si>
    <t>11041 S 219TH ST GRETNA NE 68028</t>
  </si>
  <si>
    <t>LOT 42 HARVEST CREEK</t>
  </si>
  <si>
    <t>11045 S 219TH ST GRETNA NE 68028</t>
  </si>
  <si>
    <t>LOT 43 HARVEST CREEK</t>
  </si>
  <si>
    <t>11049 S 219TH ST GRETNA NE 68028</t>
  </si>
  <si>
    <t>LOT 44 HARVEST CREEK</t>
  </si>
  <si>
    <t>LOT 45 HARVEST CREEK</t>
  </si>
  <si>
    <t>11110 S 219TH ST GRETNA NE 68028</t>
  </si>
  <si>
    <t>LOT 46 HARVEST CREEK</t>
  </si>
  <si>
    <t>11106 S 219TH ST GRETNA NE 68028</t>
  </si>
  <si>
    <t>LOT 47 HARVEST CREEK</t>
  </si>
  <si>
    <t>11102 S 219TH ST GRETNA NE 68028</t>
  </si>
  <si>
    <t>LOT 48 HARVEST CREEK</t>
  </si>
  <si>
    <t>11046 S 219TH ST GRETNA NE 68028</t>
  </si>
  <si>
    <t>LOT 49 HARVEST CREEK</t>
  </si>
  <si>
    <t>11042 S 219TH ST GRETNA NE 68028</t>
  </si>
  <si>
    <t>LOT 50 HARVEST CREEK</t>
  </si>
  <si>
    <t>11038 S 219TH ST GRETNA NE 68028</t>
  </si>
  <si>
    <t>LOT 51 HARVEST CREEK</t>
  </si>
  <si>
    <t>11034 S 219TH ST GRETNA NE 68028</t>
  </si>
  <si>
    <t>LOT 52 HARVEST CREEK</t>
  </si>
  <si>
    <t>11030 S 219TH ST GRETNA NE 68028</t>
  </si>
  <si>
    <t>LOT 53 HARVEST CREEK</t>
  </si>
  <si>
    <t>11026 S 219TH ST GRETNA NE 68028</t>
  </si>
  <si>
    <t>LOT 54 HARVEST CREEK</t>
  </si>
  <si>
    <t>11022 S 219TH ST GRETNA NE 68028</t>
  </si>
  <si>
    <t>LOT 55 HARVEST CREEK</t>
  </si>
  <si>
    <t>11018 S 219TH ST GRETNA NE 68028</t>
  </si>
  <si>
    <t>LOT 56 HARVEST CREEK</t>
  </si>
  <si>
    <t>11014 S 219TH ST GRETNA NE 68028</t>
  </si>
  <si>
    <t>LOT 57 HARVEST CREEK</t>
  </si>
  <si>
    <t>LOT 58 HARVEST CREEK</t>
  </si>
  <si>
    <t>21915 HAMPTON DR GRETNA NE 68028</t>
  </si>
  <si>
    <t>LOT 59 HARVEST CREEK</t>
  </si>
  <si>
    <t>21919 HAMPTON DR GRETNA NE 68028</t>
  </si>
  <si>
    <t>LOT 60 HARVEST CREEK</t>
  </si>
  <si>
    <t>LOT 61 HARVEST CREEK</t>
  </si>
  <si>
    <t>11011 S 220TH ST GRETNA NE 68028</t>
  </si>
  <si>
    <t>LOT 62 HARVEST CREEK</t>
  </si>
  <si>
    <t>11015 S 220TH ST GRETNA NE 68028</t>
  </si>
  <si>
    <t>LOT 63 HARVEST CREEK</t>
  </si>
  <si>
    <t>11019 S 220TH ST GRETNA NE 68028</t>
  </si>
  <si>
    <t>LOT 64 HARVEST CREEK</t>
  </si>
  <si>
    <t>11023 S 220TH ST GRETNA NE 68028</t>
  </si>
  <si>
    <t>LOT 65 HARVEST CREEK</t>
  </si>
  <si>
    <t>11027 S 220TH ST GRETNA NE 68028</t>
  </si>
  <si>
    <t>LOT 66 HARVEST CREEK</t>
  </si>
  <si>
    <t>11031 S 220TH ST GRETNA NE 68028</t>
  </si>
  <si>
    <t>LOT 67 HARVEST CREEK</t>
  </si>
  <si>
    <t>11035 S 220TH ST GRETNA NE 68028</t>
  </si>
  <si>
    <t>LOT 68 HARVEST CREEK</t>
  </si>
  <si>
    <t>11039 S 220TH ST GRETNA NE 68028</t>
  </si>
  <si>
    <t>LOT 69 HARVEST CREEK</t>
  </si>
  <si>
    <t>11043 S 220TH ST GRETNA NE 68028</t>
  </si>
  <si>
    <t>LOT 70 HARVEST CREEK</t>
  </si>
  <si>
    <t>11105 S 220TH ST GRETNA NE 68028</t>
  </si>
  <si>
    <t>LOT 71 HARVEST CREEK</t>
  </si>
  <si>
    <t>11109 S 220TH ST GRETNA NE 68028</t>
  </si>
  <si>
    <t>LOT 72 HARVEST CREEK</t>
  </si>
  <si>
    <t>LOT 73 HARVEST CREEK</t>
  </si>
  <si>
    <t>LOT 74 HARVEST CREEK</t>
  </si>
  <si>
    <t>21907 MCCLELLAN DR GRETNA NE 68028</t>
  </si>
  <si>
    <t>LOT 75 HARVEST CREEK</t>
  </si>
  <si>
    <t>21911 MCCLELLAN DR GRETNA NE 68028</t>
  </si>
  <si>
    <t>LOT 76 HARVEST CREEK</t>
  </si>
  <si>
    <t>21915 MCCLELLAN DR GRETNA NE 68028</t>
  </si>
  <si>
    <t>LOT 77 HARVEST CREEK</t>
  </si>
  <si>
    <t>21919 MCCLELLAN DR GRETNA NE 68028</t>
  </si>
  <si>
    <t>LOT 78 HARVEST CREEK</t>
  </si>
  <si>
    <t>11116 S 220TH ST GRETNA NE 68028</t>
  </si>
  <si>
    <t>LOT 79 HARVEST CREEK</t>
  </si>
  <si>
    <t>11112 S 220TH ST GRETNA NE 68028</t>
  </si>
  <si>
    <t>LOT 80 HARVEST CREEK</t>
  </si>
  <si>
    <t>11108 S 220TH ST GRETNA NE 68028</t>
  </si>
  <si>
    <t>LOT 81 HARVEST CREEK</t>
  </si>
  <si>
    <t>11104 S 220TH ST GRETNA NE 68028</t>
  </si>
  <si>
    <t>LOT 82 HARVEST CREEK</t>
  </si>
  <si>
    <t>11040 S 220TH ST GRETNA NE 68028</t>
  </si>
  <si>
    <t>LOT 83 HARVEST CREEK</t>
  </si>
  <si>
    <t>11036 S 220TH ST GRETNA NE 68028</t>
  </si>
  <si>
    <t>LOT 84 HARVEST CREEK</t>
  </si>
  <si>
    <t>11032 S 220TH ST GRETNA NE 68028</t>
  </si>
  <si>
    <t>LOT 85 HARVEST CREEK</t>
  </si>
  <si>
    <t>11028 S 220TH ST GRETNA NE 68028</t>
  </si>
  <si>
    <t>LOT 86 HARVEST CREEK</t>
  </si>
  <si>
    <t>11024 S 220TH ST GRETNA NE 68028</t>
  </si>
  <si>
    <t>LOT 87 HARVEST CREEK</t>
  </si>
  <si>
    <t>11020 S 220TH ST GRETNA NE 68028</t>
  </si>
  <si>
    <t>LOT 88 HARVEST CREEK</t>
  </si>
  <si>
    <t>11016 S 220TH ST GRETNA NE 68028</t>
  </si>
  <si>
    <t>LOT 89 HARVEST CREEK</t>
  </si>
  <si>
    <t>11012 S 220TH ST GRETNA NE 68028</t>
  </si>
  <si>
    <t>LOT 90 HARVEST CREEK</t>
  </si>
  <si>
    <t>11008 S 220TH ST GRETNA NE 68028</t>
  </si>
  <si>
    <t>LOT 91 HARVEST CREEK</t>
  </si>
  <si>
    <t>11004 S 220TH ST GRETNA NE 68028</t>
  </si>
  <si>
    <t>LOT 92 HARVEST CREEK</t>
  </si>
  <si>
    <t>10914 S 220TH ST GRETNA NE 68028</t>
  </si>
  <si>
    <t>LOT 93 HARVEST CREEK</t>
  </si>
  <si>
    <t>10910 S 220TH ST GRETNA NE 68028</t>
  </si>
  <si>
    <t>LOT 94 HARVEST CREEK</t>
  </si>
  <si>
    <t>10906 S 220TH ST GRETNA NE 68028</t>
  </si>
  <si>
    <t>LOT 95 HARVEST CREEK</t>
  </si>
  <si>
    <t>LOT 96 HARVEST CREEK</t>
  </si>
  <si>
    <t>LOT 97 HARVEST CREEK</t>
  </si>
  <si>
    <t>21910 HAMPTON DR GRETNA NE 68028</t>
  </si>
  <si>
    <t>LOT 98 HARVEST CREEK</t>
  </si>
  <si>
    <t>21914 HAMPTON DR GRETNA NE 68028</t>
  </si>
  <si>
    <t>LOT 99 HARVEST CREEK</t>
  </si>
  <si>
    <t>21918 HAMPTON DR GRETNA NE 68028</t>
  </si>
  <si>
    <t>LOT 100 HARVEST CREEK</t>
  </si>
  <si>
    <t>21922 HAMPTON DR GRETNA NE 68028</t>
  </si>
  <si>
    <t>LOT 101 HARVEST CREEK</t>
  </si>
  <si>
    <t>LOT 102 HARVEST CREEK</t>
  </si>
  <si>
    <t>LOT 103 HARVEST CREEK</t>
  </si>
  <si>
    <t>21959 LINCOLN BLVD GRETNA NE 68028</t>
  </si>
  <si>
    <t>LOT 104 HARVEST CREEK</t>
  </si>
  <si>
    <t>21955 LINCOLN BLVD GRETNA NE 68028</t>
  </si>
  <si>
    <t>LOT 105 HARVEST CREEK</t>
  </si>
  <si>
    <t>21951 LINCOLN BLVD GRETNA NE 68028</t>
  </si>
  <si>
    <t>LOT 106 HARVEST CREEK</t>
  </si>
  <si>
    <t>21913 LINCOLN BLVD GRETNA NE 68028</t>
  </si>
  <si>
    <t>LOT 107 HARVEST CREEK</t>
  </si>
  <si>
    <t>21909 LINCOLN BLVD GRETNA NE 68028</t>
  </si>
  <si>
    <t>LOT 108 HARVEST CREEK</t>
  </si>
  <si>
    <t>LOT 109 HARVEST CREEK</t>
  </si>
  <si>
    <t>LOT 110 HARVEST CREEK</t>
  </si>
  <si>
    <t>10814 S 219TH ST GRETNA NE 68028</t>
  </si>
  <si>
    <t>LOT 111 HARVEST CREEK</t>
  </si>
  <si>
    <t>10810 S 219TH ST GRETNA NE 68028</t>
  </si>
  <si>
    <t>LOT 112 HARVEST CREEK</t>
  </si>
  <si>
    <t>10806 S 219TH ST GRETNA NE 68028</t>
  </si>
  <si>
    <t>LOT 113 HARVEST CREEK</t>
  </si>
  <si>
    <t>10802 S 219TH ST GRETNA NE 68028</t>
  </si>
  <si>
    <t>LOT 114 HARVEST CREEK</t>
  </si>
  <si>
    <t>21901 BUCHANAN PKWY GRETNA NE 68028</t>
  </si>
  <si>
    <t>LOT 115 HARVEST CREEK</t>
  </si>
  <si>
    <t>LOT 116 HARVEST CREEK</t>
  </si>
  <si>
    <t>LOT 117 HARVEST CREEK</t>
  </si>
  <si>
    <t>10705 S 219TH AVE GRETNA NE 68028</t>
  </si>
  <si>
    <t>LOT 118 HARVEST CREEK</t>
  </si>
  <si>
    <t>10709 S 219TH AVE GRETNA NE 68028</t>
  </si>
  <si>
    <t>LOT 119 HARVEST CREEK</t>
  </si>
  <si>
    <t>10713 S 219TH AVE GRETNA NE 68028</t>
  </si>
  <si>
    <t>LOT 120 HARVEST CREEK</t>
  </si>
  <si>
    <t>10805 S 219TH AVE GRETNA NE 68028</t>
  </si>
  <si>
    <t>LOT 121 HARVEST CREEK</t>
  </si>
  <si>
    <t>10809 S 219TH AVE GRETNA NE 68028</t>
  </si>
  <si>
    <t>LOT 122 HARVEST CREEK</t>
  </si>
  <si>
    <t>10813 S 219TH AVE GRETNA NE 68028</t>
  </si>
  <si>
    <t>LOT 123 HARVEST CREEK</t>
  </si>
  <si>
    <t>LOT 124 HARVEST CREEK</t>
  </si>
  <si>
    <t>LOT 125 HARVEST CREEK</t>
  </si>
  <si>
    <t>10812 S 219TH AVE GRETNA NE 68028</t>
  </si>
  <si>
    <t>LOT 126 HARVEST CREEK</t>
  </si>
  <si>
    <t>10808 S 219TH AVE GRETNA NE 68028</t>
  </si>
  <si>
    <t>LOT 127 HARVEST CREEK</t>
  </si>
  <si>
    <t>10804 S 219TH AVE GRETNA NE 68028</t>
  </si>
  <si>
    <t>LOT 128 HARVEST CREEK</t>
  </si>
  <si>
    <t>10714 S 219TH AVE GRETNA NE 68028</t>
  </si>
  <si>
    <t>LOT 129 HARVEST CREEK</t>
  </si>
  <si>
    <t>10710 S 219TH AVE GRETNA NE 68028</t>
  </si>
  <si>
    <t>LOT 130 HARVEST CREEK</t>
  </si>
  <si>
    <t>10706 S 219TH AVE GRETNA NE 68028</t>
  </si>
  <si>
    <t>LOT 131 HARVEST CREEK</t>
  </si>
  <si>
    <t>LOT 132 HARVEST CREEK</t>
  </si>
  <si>
    <t>LOT 133 HARVEST CREEK</t>
  </si>
  <si>
    <t>10707 S 220TH ST GRETNA NE 68028</t>
  </si>
  <si>
    <t>LOT 134 HARVEST CREEK</t>
  </si>
  <si>
    <t>10711 S 220TH ST GRETNA NE 68028</t>
  </si>
  <si>
    <t>LOT 135 HARVEST CREEK</t>
  </si>
  <si>
    <t>10715 S 220TH ST GRETNA NE 68028</t>
  </si>
  <si>
    <t>LOT 136 HARVEST CREEK</t>
  </si>
  <si>
    <t>10801 S 220TH ST GRETNA NE 68028</t>
  </si>
  <si>
    <t>LOT 137 HARVEST CREEK</t>
  </si>
  <si>
    <t>10805 S 220TH ST GRETNA NE 68028</t>
  </si>
  <si>
    <t>LOT 138 HARVEST CREEK</t>
  </si>
  <si>
    <t>10809 S 220TH ST GRETNA NE 68028</t>
  </si>
  <si>
    <t>LOT 139 HARVEST CREEK</t>
  </si>
  <si>
    <t>LOT 140 HARVEST CREEK</t>
  </si>
  <si>
    <t>LOT 141 HARVEST CREEK</t>
  </si>
  <si>
    <t>10810 S 220TH ST GRETNA NE 68028</t>
  </si>
  <si>
    <t>LOT 142 HARVEST CREEK</t>
  </si>
  <si>
    <t>10806 S 220TH ST GRETNA NE 68028</t>
  </si>
  <si>
    <t>LOT 143 HARVEST CREEK</t>
  </si>
  <si>
    <t>10802 S 220TH ST GRETNA NE 68028</t>
  </si>
  <si>
    <t>LOT 144 HARVEST CREEK</t>
  </si>
  <si>
    <t>10716 S 220TH ST GRETNA NE 68028</t>
  </si>
  <si>
    <t>LOT 145 HARVEST CREEK</t>
  </si>
  <si>
    <t>10712 S 220TH ST GRETNA NE 68028</t>
  </si>
  <si>
    <t>LOT 146 HARVEST CREEK</t>
  </si>
  <si>
    <t>10708 S 220TH ST GRETNA NE 68028</t>
  </si>
  <si>
    <t>LOT 147 HARVEST CREEK</t>
  </si>
  <si>
    <t>LOT 148 HARVEST CREEK</t>
  </si>
  <si>
    <t>LOT 149 HARVEST CREEK</t>
  </si>
  <si>
    <t>21955 BUCHANAN PKWY GRETNA NE 68028</t>
  </si>
  <si>
    <t>LOT 150 HARVEST CREEK</t>
  </si>
  <si>
    <t>21959 BUCHANAN PKWY GRETNA NE 68028</t>
  </si>
  <si>
    <t>LOT 151 HARVEST CREEK</t>
  </si>
  <si>
    <t>22002 BUCHANAN PKWY GRETNA NE 68028</t>
  </si>
  <si>
    <t>LOT 152 HARVEST CREEK</t>
  </si>
  <si>
    <t>22006 BUCHANAN PKWY GRETNA NE 68028</t>
  </si>
  <si>
    <t>LOT 153 HARVEST CREEK</t>
  </si>
  <si>
    <t>22010 BUCHANAN PKWY GRETNA NE 68028</t>
  </si>
  <si>
    <t>LOT 154 HARVEST CREEK</t>
  </si>
  <si>
    <t>LOT 155 HARVEST CREEK</t>
  </si>
  <si>
    <t>10705 S 221ST ST GRETNA NE 68028</t>
  </si>
  <si>
    <t>LOT 156 HARVEST CREEK</t>
  </si>
  <si>
    <t>10709 S 221ST ST GRETNA NE 68028</t>
  </si>
  <si>
    <t>LOT 157 HARVEST CREEK</t>
  </si>
  <si>
    <t>10803 S 221ST ST GRETNA NE 68028</t>
  </si>
  <si>
    <t>LOT 158 HARVEST CREEK</t>
  </si>
  <si>
    <t>10807 S 221ST ST GRETNA NE 68028</t>
  </si>
  <si>
    <t>LOT 159 HARVEST CREEK</t>
  </si>
  <si>
    <t>10811 S 221ST ST GRETNA NE 68028</t>
  </si>
  <si>
    <t>LOT 160 HARVEST CREEK</t>
  </si>
  <si>
    <t>LOT 161 HARVEST CREEK</t>
  </si>
  <si>
    <t>LOT 162 HARVEST CREEK</t>
  </si>
  <si>
    <t>10905 S 221ST ST GRETNA NE 68028</t>
  </si>
  <si>
    <t>LOT 163 HARVEST CREEK</t>
  </si>
  <si>
    <t>10909 S 221ST ST GRETNA NE 68028</t>
  </si>
  <si>
    <t>LOT 164 HARVEST CREEK</t>
  </si>
  <si>
    <t>10913 S 221ST ST GRETNA NE 68028</t>
  </si>
  <si>
    <t>LOT 165 HARVEST CREEK</t>
  </si>
  <si>
    <t>11003 S 221ST ST GRETNA NE 68028</t>
  </si>
  <si>
    <t>LOT 166 HARVEST CREEK</t>
  </si>
  <si>
    <t>11007 S 221ST ST GRETNA NE 68028</t>
  </si>
  <si>
    <t>LOT 167 HARVEST CREEK</t>
  </si>
  <si>
    <t>11011 S 221ST ST GRETNA NE 68028</t>
  </si>
  <si>
    <t>LOT 168 HARVEST CREEK</t>
  </si>
  <si>
    <t>11015 S 221ST ST GRETNA NE 68028</t>
  </si>
  <si>
    <t>LOT 169 HARVEST CREEK</t>
  </si>
  <si>
    <t>11019 S 221ST ST GRETNA NE 68028</t>
  </si>
  <si>
    <t>LOT 170 HARVEST CREEK</t>
  </si>
  <si>
    <t>11023 S 221ST ST GRETNA NE 68028</t>
  </si>
  <si>
    <t>LOT 171 HARVEST CREEK</t>
  </si>
  <si>
    <t>11051 S 221ST ST GRETNA NE 68028</t>
  </si>
  <si>
    <t>LOT 172 HARVEST CREEK</t>
  </si>
  <si>
    <t>11055 S 221ST ST GRETNA NE 68028</t>
  </si>
  <si>
    <t>LOT 173 HARVEST CREEK</t>
  </si>
  <si>
    <t>11059 S 221ST ST GRETNA NE 68028</t>
  </si>
  <si>
    <t>LOT 174 HARVEST CREEK</t>
  </si>
  <si>
    <t>11063 S 221ST ST GRETNA NE 68028</t>
  </si>
  <si>
    <t>LOT 175 HARVEST CREEK</t>
  </si>
  <si>
    <t>11067 S 221ST ST GRETNA NE 68028</t>
  </si>
  <si>
    <t>LOT 176 HARVEST CREEK</t>
  </si>
  <si>
    <t>11101 S 221ST ST GRETNA NE 68028</t>
  </si>
  <si>
    <t>LOT 177 HARVEST CREEK</t>
  </si>
  <si>
    <t>11105 S 221ST ST GRETNA NE 68028</t>
  </si>
  <si>
    <t>LOT 178 HARVEST CREEK</t>
  </si>
  <si>
    <t>LOT 179 HARVEST CREEK</t>
  </si>
  <si>
    <t>22109 MCCLELLAN DR GRETNA NE 68028</t>
  </si>
  <si>
    <t>LOT 180 HARVEST CREEK</t>
  </si>
  <si>
    <t>22113 MCCLELLAN DR GRETNA NE 68028</t>
  </si>
  <si>
    <t>LOT 181 HARVEST CREEK</t>
  </si>
  <si>
    <t>22117 MCCLELLAN DR GRETNA NE 68028</t>
  </si>
  <si>
    <t>LOT 182 HARVEST CREEK</t>
  </si>
  <si>
    <t>22121 S 222ND ST GRETNA NE 68028</t>
  </si>
  <si>
    <t>LOT 183 HARVEST CREEK</t>
  </si>
  <si>
    <t>11114 S 222ND ST GRETNA NE 68028</t>
  </si>
  <si>
    <t>LOT 184 HARVEST CREEK</t>
  </si>
  <si>
    <t>11110 S 222ND ST GRETNA NE 68028</t>
  </si>
  <si>
    <t>LOT 185 HARVEST CREEK</t>
  </si>
  <si>
    <t>11106 S 222ND ST GRETNA NE 68028</t>
  </si>
  <si>
    <t>LOT 186 HARVEST CREEK</t>
  </si>
  <si>
    <t>11102 S 222ND ST GRETNA NE 68028</t>
  </si>
  <si>
    <t>LOT 187 HARVEST CREEK</t>
  </si>
  <si>
    <t>11068 S 222ND ST GRETNA NE 68028</t>
  </si>
  <si>
    <t>LOT 188 HARVEST CREEK</t>
  </si>
  <si>
    <t>11064 S 222ND ST GRETNA NE 68028</t>
  </si>
  <si>
    <t>LOT 189 HARVEST CREEK</t>
  </si>
  <si>
    <t>11060 S 222ND ST GRETNA NE 68028</t>
  </si>
  <si>
    <t>LOT 190 HARVEST CREEK</t>
  </si>
  <si>
    <t>11056 S 222ND ST GRETNA NE 68028</t>
  </si>
  <si>
    <t>LOT 191 HARVEST CREEK</t>
  </si>
  <si>
    <t>11052 S 222ND ST GRETNA NE 68028</t>
  </si>
  <si>
    <t>LOT 192 HARVEST CREEK</t>
  </si>
  <si>
    <t>11016 S 222ND ST GRETNA NE 68028</t>
  </si>
  <si>
    <t>LOT 193 HARVEST CREEK</t>
  </si>
  <si>
    <t>11012 S 222ND ST GRETNA NE 68028</t>
  </si>
  <si>
    <t>LOT 194 HARVEST CREEK</t>
  </si>
  <si>
    <t>11008 S 222ND ST GRETNA NE 68028</t>
  </si>
  <si>
    <t>LOT 195 HARVEST CREEK</t>
  </si>
  <si>
    <t>11004 S 222ND ST GRETNA NE 68028</t>
  </si>
  <si>
    <t>LOT 196 HARVEST CREEK</t>
  </si>
  <si>
    <t>10918 S 222ND ST GRETNA NE 68028</t>
  </si>
  <si>
    <t>LOT 197 HARVEST CREEK</t>
  </si>
  <si>
    <t>10914 S 222ND ST GRETNA NE 68028</t>
  </si>
  <si>
    <t>LOT 198 HARVEST CREEK</t>
  </si>
  <si>
    <t>10910 S 222ND ST GRETNA NE 68028</t>
  </si>
  <si>
    <t>LOT 199 HARVEST CREEK</t>
  </si>
  <si>
    <t>10906 S 222ND ST GRETNA NE 68028</t>
  </si>
  <si>
    <t>LOT 200 HARVEST CREEK</t>
  </si>
  <si>
    <t>LOT 201 HARVEST CREEK</t>
  </si>
  <si>
    <t>LOT 202 HARVEST CREEK</t>
  </si>
  <si>
    <t>22108 MCCLELLAN DR GRETNA NE 68028</t>
  </si>
  <si>
    <t>LOT 203 HARVEST CREEK</t>
  </si>
  <si>
    <t>22112 MCCLELLAN DR GRETNA NE 68028</t>
  </si>
  <si>
    <t>LOT 204 HARVEST CREEK</t>
  </si>
  <si>
    <t>LOT 205 HARVEST CREEK</t>
  </si>
  <si>
    <t>LOT 206 HARVEST CREEK</t>
  </si>
  <si>
    <t>22111 SHILOH DR GRETNA NE 68028</t>
  </si>
  <si>
    <t>LOT 207 HARVEST CREEK</t>
  </si>
  <si>
    <t>22107 SHILOH DR GRETNA NE 68028</t>
  </si>
  <si>
    <t>LOT 208 HARVEST CREEK</t>
  </si>
  <si>
    <t>LOT 209 HARVEST CREEK</t>
  </si>
  <si>
    <t>LOT 210 HARVEST CREEK</t>
  </si>
  <si>
    <t>22106 SHILOH DR GRETNA NE 68028</t>
  </si>
  <si>
    <t>LOT 211 HARVEST CREEK</t>
  </si>
  <si>
    <t>22110 SHILOH DR GRETNA NE 68028</t>
  </si>
  <si>
    <t>LOT 212 HARVEST CREEK</t>
  </si>
  <si>
    <t>22114 SHILOH DR GRETNA NE 68028</t>
  </si>
  <si>
    <t>LOT 213 HARVEST CREEK</t>
  </si>
  <si>
    <t>LOT 214 HARVEST CREEK</t>
  </si>
  <si>
    <t>LOT 215 HARVEST CREEK</t>
  </si>
  <si>
    <t>22121 SCHOFIELD DR GRETNA NE 68028</t>
  </si>
  <si>
    <t>LOT 216 HARVEST CREEK</t>
  </si>
  <si>
    <t>22117 SCHOFIELD DR GRETNA NE 68028</t>
  </si>
  <si>
    <t>LOT 217 HARVEST CREEK</t>
  </si>
  <si>
    <t>22113 SCHOFIELD DR GRETNA NE 68028</t>
  </si>
  <si>
    <t>LOT 218 HARVEST CREEK</t>
  </si>
  <si>
    <t>22109 SCHOFIELD DR GRETNA NE 68028</t>
  </si>
  <si>
    <t>LOT 219 HARVEST CREEK</t>
  </si>
  <si>
    <t>LOT 220 HARVEST CREEK</t>
  </si>
  <si>
    <t>LOT 221 HARVEST CREEK</t>
  </si>
  <si>
    <t>22108 SCHOFIELD DR GRETNA NE 68028</t>
  </si>
  <si>
    <t>LOT 222 HARVEST CREEK</t>
  </si>
  <si>
    <t>22112 SCHOFIELD DR GRETNA NE 68028</t>
  </si>
  <si>
    <t>LOT 223 HARVEST CREEK</t>
  </si>
  <si>
    <t>22116 SCHOFIELD DR GRETNA NE 68028</t>
  </si>
  <si>
    <t>LOT 224 HARVEST CREEK</t>
  </si>
  <si>
    <t>22120 SCHOFIELD DR GRETNA NE 68028</t>
  </si>
  <si>
    <t>LOT 225 HARVEST CREEK</t>
  </si>
  <si>
    <t>LOT 226 HARVEST CREEK</t>
  </si>
  <si>
    <t>LOT 227 HARVEST CREEK</t>
  </si>
  <si>
    <t>22123 HAMPTON DR GRETNA NE 68028</t>
  </si>
  <si>
    <t>LOT 228 HARVEST CREEK</t>
  </si>
  <si>
    <t>22119 HAMPTON DR GRETNA NE 68028</t>
  </si>
  <si>
    <t>LOT 229 HARVEST CREEK</t>
  </si>
  <si>
    <t>22115 HAMPTON DR GRETNA NE 68028</t>
  </si>
  <si>
    <t>LOT 230 HARVEST CREEK</t>
  </si>
  <si>
    <t>22111 HAMPTON DR GRETNA NE 68028</t>
  </si>
  <si>
    <t>LOT 231 HARVEST CREEK</t>
  </si>
  <si>
    <t>22107 HAMPTON DR GRETNA NE 68028</t>
  </si>
  <si>
    <t>LOT 232 HARVEST CREEK</t>
  </si>
  <si>
    <t>LOT 233 HARVEST CREEK</t>
  </si>
  <si>
    <t>LOT 234 HARVEST CREEK</t>
  </si>
  <si>
    <t>22106 HAMPTON DR GRETNA NE 68028</t>
  </si>
  <si>
    <t>LOT 235 HARVEST CREEK</t>
  </si>
  <si>
    <t>22110 HAMPTON DR GRETNA NE 68028</t>
  </si>
  <si>
    <t>LOT 236 HARVEST CREEK</t>
  </si>
  <si>
    <t>22114 HAMPTON DR GRETNA NE 68028</t>
  </si>
  <si>
    <t>LOT 237 HARVEST CREEK</t>
  </si>
  <si>
    <t>22118 HAMPTON DR GRETNA NE 68028</t>
  </si>
  <si>
    <t>LOT 238 HARVEST CREEK</t>
  </si>
  <si>
    <t>22122 HAMPTON DR GRETNA NE 68028</t>
  </si>
  <si>
    <t>LOT 239 HARVEST CREEK</t>
  </si>
  <si>
    <t>LOT 240 HARVEST CREEK</t>
  </si>
  <si>
    <t>LOT 241 HARVEST CREEK</t>
  </si>
  <si>
    <t>22157 LINCOLN BLVD GRETNA NE 68028</t>
  </si>
  <si>
    <t>LOT 242 HARVEST CREEK</t>
  </si>
  <si>
    <t>22153 LINCOLN BLVD GRETNA NE 68028</t>
  </si>
  <si>
    <t>LOT 243 HARVEST CREEK</t>
  </si>
  <si>
    <t>22109 LINCOLN BLVD GRETNA NE 68028</t>
  </si>
  <si>
    <t>LOT 244 HARVEST CREEK</t>
  </si>
  <si>
    <t>22105 LINCOLN BLVD GRETNA NE 68028</t>
  </si>
  <si>
    <t>LOT 245 HARVEST CREEK</t>
  </si>
  <si>
    <t>LOT 246 HARVEST CREEK</t>
  </si>
  <si>
    <t>LOT 247 HARVEST CREEK</t>
  </si>
  <si>
    <t>10812 S 221ST ST GRETNA NE 68028</t>
  </si>
  <si>
    <t>LOT 248 HARVEST CREEK</t>
  </si>
  <si>
    <t>10808 S 221ST ST GRETNA NE 68028</t>
  </si>
  <si>
    <t>LOT 249 HARVEST CREEK</t>
  </si>
  <si>
    <t>10804 S 221ST ST GRETNA NE 68028</t>
  </si>
  <si>
    <t>LOT 250 HARVEST CREEK</t>
  </si>
  <si>
    <t>10710 S 221ST ST GRETNA NE 68028</t>
  </si>
  <si>
    <t>LOT 251 HARVEST CREEK</t>
  </si>
  <si>
    <t>10706 S 221ST ST GRETNA NE 68028</t>
  </si>
  <si>
    <t>LOT 252 HARVEST CREEK</t>
  </si>
  <si>
    <t>LOT 253 HARVEST CREEK</t>
  </si>
  <si>
    <t>LOT 254 HARVEST CREEK</t>
  </si>
  <si>
    <t>10707 S 221ST AVE GRETNA NE 68028</t>
  </si>
  <si>
    <t>LOT 255 HARVEST CREEK</t>
  </si>
  <si>
    <t>10711 S 221ST AVE GRETNA NE 68028</t>
  </si>
  <si>
    <t>LOT 256 HARVEST CREEK</t>
  </si>
  <si>
    <t>10801 S 221ST AVE GRETNA NE 68028</t>
  </si>
  <si>
    <t>LOT 257 HARVEST CREEK</t>
  </si>
  <si>
    <t>10805 S 221ST AVE GRETNA NE 68028</t>
  </si>
  <si>
    <t>LOT 258 HARVEST CREEK</t>
  </si>
  <si>
    <t>10809 S 221ST AVE GRETNA NE 68028</t>
  </si>
  <si>
    <t>LOT 259 HARVEST CREEK</t>
  </si>
  <si>
    <t>LOT 260 HARVEST CREEK</t>
  </si>
  <si>
    <t>LOT 261 HARVEST CREEK</t>
  </si>
  <si>
    <t>10810 S 221ST AVE GRETNA NE 68028</t>
  </si>
  <si>
    <t>LOT 262 HARVEST CREEK</t>
  </si>
  <si>
    <t>10806 S 221ST AVE GRETNA NE 68028</t>
  </si>
  <si>
    <t>LOT 263 HARVEST CREEK</t>
  </si>
  <si>
    <t>10802 S 221ST AVE GRETNA NE 68028</t>
  </si>
  <si>
    <t>LOT 264 HARVEST CREEK</t>
  </si>
  <si>
    <t>10712 S 221ST AVE GRETNA NE 68028</t>
  </si>
  <si>
    <t>LOT 265 HARVEST CREEK</t>
  </si>
  <si>
    <t>10708 S 221ST AVE GRETNA NE 68028</t>
  </si>
  <si>
    <t>LOT 266 HARVEST CREEK</t>
  </si>
  <si>
    <t>LOT 267 HARVEST CREEK</t>
  </si>
  <si>
    <t>LOT 268 HARVEST CREEK</t>
  </si>
  <si>
    <t>10705 S 222ND ST GRETNA NE 68028</t>
  </si>
  <si>
    <t>LOT 269 HARVEST CREEK</t>
  </si>
  <si>
    <t>10709 S 222ND ST GRETNA NE 68028</t>
  </si>
  <si>
    <t>LOT 270 HARVEST CREEK</t>
  </si>
  <si>
    <t>10713 S 222ND ST GRETNA NE 68028</t>
  </si>
  <si>
    <t>LOT 271 HARVEST CREEK</t>
  </si>
  <si>
    <t>10717 S 222ND ST GRETNA NE 68028</t>
  </si>
  <si>
    <t>LOT 272 HARVEST CREEK</t>
  </si>
  <si>
    <t>OUTLOT A HARVEST CREEK (0.500 AC)</t>
  </si>
  <si>
    <t>OUTLOT B HARVEST CREEK (0.892 AC)</t>
  </si>
  <si>
    <t>OUTLOT C HARVEST CREEK (0.687 AC)</t>
  </si>
  <si>
    <t>OUTLOT D HARVEST CREEK (2.574 AC)</t>
  </si>
  <si>
    <t>OUTLOT E HARVEST CREEK (4.670 AC)</t>
  </si>
  <si>
    <t>OUTLOT F HARVEST CREEK (1.552 AC)</t>
  </si>
  <si>
    <t>OUTLOT G HARVEST CREEK (2.766 AC)</t>
  </si>
  <si>
    <t>OUTLOT H HARVEST CREEK (2.195 AC)</t>
  </si>
  <si>
    <t>OUTLOT I HARVEST CREEK (1.546 AC)</t>
  </si>
  <si>
    <t>OUTLOT J HARVEST CREEK (0.120 AC)</t>
  </si>
  <si>
    <t>BROWN/CHAD</t>
  </si>
  <si>
    <t>S 15 FT OF W 44 FT LOT 1 &amp; S 15 OF E 24 FT LOT 34 SVOBODA'S ADDITION</t>
  </si>
  <si>
    <t>SVOBODA/SARAH &amp; JORDAN</t>
  </si>
  <si>
    <t>17815 S 183RD ST SPRINGFIELD NE 68059</t>
  </si>
  <si>
    <t>LOT 1 BUFFALO RIDGE (3.00 AC)</t>
  </si>
  <si>
    <t>17809 S 183RD ST SPRINGFIELD NE 68059</t>
  </si>
  <si>
    <t>OUTLOT A BUFFALO RIDGE (4.50 AC)</t>
  </si>
  <si>
    <t>STEINHOFF/SHANE &amp; KENORA</t>
  </si>
  <si>
    <t>IRREG SOUTHERLY 0.35 AC ADJ LOT 5 GRAND VISTA ESTATES REPLAT 1 S1/2 E1/2 NE1/4 3-13-10 (0.35 AC)</t>
  </si>
  <si>
    <t>SILVER OAK ESTATES LLC</t>
  </si>
  <si>
    <t>IRREG SOUTHERLY 0.11 AC ADJ LOTS 21 &amp; 23 SILVER OAK ESTATES S1/2 W1/2 NE1/4 2-13-10 (0.11 AC)</t>
  </si>
  <si>
    <t>FIRE BELLY LLC</t>
  </si>
  <si>
    <t>OUTLOT A GRETNA LANDING (0.232 AC)</t>
  </si>
  <si>
    <t>GRIFFIN HOMES INC</t>
  </si>
  <si>
    <t>9816 OVERLAND TRL PAPILLION NE 68046</t>
  </si>
  <si>
    <t>LOT 58 GRANITE CREEK EAST</t>
  </si>
  <si>
    <t>9812 OVERLAND TRL PAPILLION NE 68046</t>
  </si>
  <si>
    <t>LOT 59 GRANITE CREEK EAST</t>
  </si>
  <si>
    <t>9808 OVERLAND TRL PAPILLION NE 68046</t>
  </si>
  <si>
    <t>LOT 60 GRANITE CREEK EAST</t>
  </si>
  <si>
    <t>GRANITE CREEK DEVELOPMENT LLC</t>
  </si>
  <si>
    <t>9815 CUMBERLAND DR PAPILLION NE 68046</t>
  </si>
  <si>
    <t>LOT 64 GRANITE CREEK EAST</t>
  </si>
  <si>
    <t>9902 CIMARRON ST PAPILLION NE 68046</t>
  </si>
  <si>
    <t>LOT 119 GRANITE CREEK EAST</t>
  </si>
  <si>
    <t>ADVANTAGE DEVELOPMENT INC</t>
  </si>
  <si>
    <t>10955 S 102ND ST PAPILLION NE 68046</t>
  </si>
  <si>
    <t>LOT 131 GRANITE CREEK EAST</t>
  </si>
  <si>
    <t>IRREG NORTHWESTERLY PT TAX LOT 6A IN SID 359 30-14-11 (1.32 AC)</t>
  </si>
  <si>
    <t>19311 RAVEN RIDGE DR GRETNA NE 68028</t>
  </si>
  <si>
    <t>LOT 9 BUFFALO CREEK INDUSTRIAL (3.262 AC)</t>
  </si>
  <si>
    <t>PT VAC 198TH ST ADJ TAX LOT 6A FOR RIDGEMONT ST 30-14-11 (0.02 AC)</t>
  </si>
  <si>
    <t>PT VAC 198TH ST ADJ TAX LOT 6A N OF RIDGEMONT ST DEDICATION 30-14-11 (0.01 AC)</t>
  </si>
  <si>
    <t>PT VAC 198TH ST ADJ TAX LOT 6A S OF RIDGEMONT ST DEDICATION 30-14-11 (0.44 AC)</t>
  </si>
  <si>
    <t>LA VISTA HOSPITALITY LLC</t>
  </si>
  <si>
    <t>12370 CHANDLER PLZ LA VISTA NE 68128</t>
  </si>
  <si>
    <t>LOT 1 SOUTHPORT EAST REPLAT FIFTEEN (2.37 AC)</t>
  </si>
  <si>
    <t>12380 CHANDLER PLZ LA VISTA NE 68128</t>
  </si>
  <si>
    <t>LOT 2 SOUTHPORT EAST REPLAT FIFTEEN (2.79 AC)</t>
  </si>
  <si>
    <t>12360 CHANDLER PLZ LA VISTA NE 68128</t>
  </si>
  <si>
    <t>LOT 3 SOUTHPORT EAST REPLAT FIFTEEN (1.96 AC)</t>
  </si>
  <si>
    <t>COUNTY</t>
  </si>
  <si>
    <t>COUNTY NUMBER</t>
  </si>
  <si>
    <t>PARCEL ID</t>
  </si>
  <si>
    <t>OWNER NAME</t>
  </si>
  <si>
    <t>SITUS (if available)</t>
  </si>
  <si>
    <t xml:space="preserve">LEGAL  </t>
  </si>
  <si>
    <t>TAX DUE</t>
  </si>
  <si>
    <t>Sarpy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</si>
</sst>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4" fontId="3" fillId="0" borderId="0" xfId="1" applyFont="1" applyFill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256B-0B48-47AB-A472-D68F96BD28CF}">
  <dimension ref="A1:G1556"/>
  <sheetViews>
    <sheetView tabSelected="1" workbookViewId="0">
      <selection activeCell="F6" sqref="F6"/>
    </sheetView>
  </sheetViews>
  <sheetFormatPr defaultRowHeight="15" x14ac:dyDescent="0.25"/>
  <cols>
    <col min="1" max="2" width="9"/>
    <col min="3" max="3" width="8.85546875" bestFit="1" customWidth="1"/>
    <col min="4" max="4" width="37.140625" bestFit="1" customWidth="1"/>
    <col min="5" max="5" width="39.28515625" bestFit="1" customWidth="1"/>
    <col min="6" max="6" width="91" bestFit="1" customWidth="1"/>
    <col min="7" max="7" width="10.7109375" bestFit="1" customWidth="1"/>
    <col min="8" max="8" width="9" customWidth="1"/>
  </cols>
  <sheetData>
    <row r="1" spans="1:7" ht="25.5" x14ac:dyDescent="0.25">
      <c r="A1" s="4" t="s">
        <v>3162</v>
      </c>
      <c r="B1" s="5" t="s">
        <v>3163</v>
      </c>
      <c r="C1" s="6" t="s">
        <v>3164</v>
      </c>
      <c r="D1" s="7" t="s">
        <v>3165</v>
      </c>
      <c r="E1" s="7" t="s">
        <v>3166</v>
      </c>
      <c r="F1" s="8" t="s">
        <v>3167</v>
      </c>
      <c r="G1" s="9" t="s">
        <v>3168</v>
      </c>
    </row>
    <row r="2" spans="1:7" x14ac:dyDescent="0.25">
      <c r="A2" s="1" t="s">
        <v>3169</v>
      </c>
      <c r="B2" s="2">
        <v>77</v>
      </c>
      <c r="C2" s="3" t="str">
        <f>"010320881"</f>
        <v>010320881</v>
      </c>
      <c r="D2" s="3" t="s">
        <v>0</v>
      </c>
      <c r="E2" s="3" t="s">
        <v>1</v>
      </c>
      <c r="F2" s="3" t="s">
        <v>2</v>
      </c>
      <c r="G2" s="3">
        <v>5121.58</v>
      </c>
    </row>
    <row r="3" spans="1:7" x14ac:dyDescent="0.25">
      <c r="A3" s="1" t="s">
        <v>3169</v>
      </c>
      <c r="B3" s="2">
        <v>77</v>
      </c>
      <c r="C3" s="3" t="str">
        <f>"010322116"</f>
        <v>010322116</v>
      </c>
      <c r="D3" s="3" t="s">
        <v>3</v>
      </c>
      <c r="E3" s="3"/>
      <c r="F3" s="3" t="s">
        <v>4</v>
      </c>
      <c r="G3" s="3">
        <v>13145.22</v>
      </c>
    </row>
    <row r="4" spans="1:7" x14ac:dyDescent="0.25">
      <c r="A4" s="1" t="s">
        <v>3169</v>
      </c>
      <c r="B4" s="2">
        <v>77</v>
      </c>
      <c r="C4" s="3" t="str">
        <f>"010323880"</f>
        <v>010323880</v>
      </c>
      <c r="D4" s="3" t="s">
        <v>5</v>
      </c>
      <c r="E4" s="3"/>
      <c r="F4" s="3" t="s">
        <v>6</v>
      </c>
      <c r="G4" s="3">
        <v>30.44</v>
      </c>
    </row>
    <row r="5" spans="1:7" x14ac:dyDescent="0.25">
      <c r="A5" s="1" t="s">
        <v>3169</v>
      </c>
      <c r="B5" s="2">
        <v>77</v>
      </c>
      <c r="C5" s="3" t="str">
        <f>"010326189"</f>
        <v>010326189</v>
      </c>
      <c r="D5" s="3" t="s">
        <v>7</v>
      </c>
      <c r="E5" s="3" t="s">
        <v>8</v>
      </c>
      <c r="F5" s="3" t="s">
        <v>9</v>
      </c>
      <c r="G5" s="3">
        <v>3175.14</v>
      </c>
    </row>
    <row r="6" spans="1:7" x14ac:dyDescent="0.25">
      <c r="A6" s="1" t="s">
        <v>3169</v>
      </c>
      <c r="B6" s="2">
        <v>77</v>
      </c>
      <c r="C6" s="3" t="str">
        <f>"010326669"</f>
        <v>010326669</v>
      </c>
      <c r="D6" s="3" t="s">
        <v>10</v>
      </c>
      <c r="E6" s="3" t="s">
        <v>11</v>
      </c>
      <c r="F6" s="3" t="s">
        <v>12</v>
      </c>
      <c r="G6" s="3">
        <v>3523.18</v>
      </c>
    </row>
    <row r="7" spans="1:7" x14ac:dyDescent="0.25">
      <c r="A7" s="1" t="s">
        <v>3169</v>
      </c>
      <c r="B7" s="2">
        <v>77</v>
      </c>
      <c r="C7" s="3" t="str">
        <f>"010328742"</f>
        <v>010328742</v>
      </c>
      <c r="D7" s="3" t="s">
        <v>13</v>
      </c>
      <c r="E7" s="3" t="s">
        <v>14</v>
      </c>
      <c r="F7" s="3" t="s">
        <v>15</v>
      </c>
      <c r="G7" s="3">
        <v>1991.91</v>
      </c>
    </row>
    <row r="8" spans="1:7" x14ac:dyDescent="0.25">
      <c r="A8" s="1" t="s">
        <v>3169</v>
      </c>
      <c r="B8" s="2">
        <v>77</v>
      </c>
      <c r="C8" s="3" t="str">
        <f>"010330127"</f>
        <v>010330127</v>
      </c>
      <c r="D8" s="3" t="s">
        <v>16</v>
      </c>
      <c r="E8" s="3" t="s">
        <v>17</v>
      </c>
      <c r="F8" s="3" t="s">
        <v>18</v>
      </c>
      <c r="G8" s="3">
        <v>1050.68</v>
      </c>
    </row>
    <row r="9" spans="1:7" x14ac:dyDescent="0.25">
      <c r="A9" s="1" t="s">
        <v>3169</v>
      </c>
      <c r="B9" s="2">
        <v>77</v>
      </c>
      <c r="C9" s="3" t="str">
        <f>"010330267"</f>
        <v>010330267</v>
      </c>
      <c r="D9" s="3" t="s">
        <v>19</v>
      </c>
      <c r="E9" s="3" t="s">
        <v>20</v>
      </c>
      <c r="F9" s="3" t="s">
        <v>21</v>
      </c>
      <c r="G9" s="3">
        <v>1511.82</v>
      </c>
    </row>
    <row r="10" spans="1:7" x14ac:dyDescent="0.25">
      <c r="A10" s="1" t="s">
        <v>3169</v>
      </c>
      <c r="B10" s="2">
        <v>77</v>
      </c>
      <c r="C10" s="3" t="str">
        <f>"010330283"</f>
        <v>010330283</v>
      </c>
      <c r="D10" s="3" t="s">
        <v>22</v>
      </c>
      <c r="E10" s="3" t="s">
        <v>23</v>
      </c>
      <c r="F10" s="3" t="s">
        <v>24</v>
      </c>
      <c r="G10" s="3">
        <v>1269.23</v>
      </c>
    </row>
    <row r="11" spans="1:7" x14ac:dyDescent="0.25">
      <c r="A11" s="1" t="s">
        <v>3169</v>
      </c>
      <c r="B11" s="2">
        <v>77</v>
      </c>
      <c r="C11" s="3" t="str">
        <f>"010330445"</f>
        <v>010330445</v>
      </c>
      <c r="D11" s="3" t="s">
        <v>25</v>
      </c>
      <c r="E11" s="3" t="s">
        <v>26</v>
      </c>
      <c r="F11" s="3" t="s">
        <v>27</v>
      </c>
      <c r="G11" s="3">
        <v>2932.94</v>
      </c>
    </row>
    <row r="12" spans="1:7" x14ac:dyDescent="0.25">
      <c r="A12" s="1" t="s">
        <v>3169</v>
      </c>
      <c r="B12" s="2">
        <v>77</v>
      </c>
      <c r="C12" s="3" t="str">
        <f>"010331506"</f>
        <v>010331506</v>
      </c>
      <c r="D12" s="3" t="s">
        <v>7</v>
      </c>
      <c r="E12" s="3" t="s">
        <v>28</v>
      </c>
      <c r="F12" s="3" t="s">
        <v>29</v>
      </c>
      <c r="G12" s="3">
        <v>1334.16</v>
      </c>
    </row>
    <row r="13" spans="1:7" x14ac:dyDescent="0.25">
      <c r="A13" s="1" t="s">
        <v>3169</v>
      </c>
      <c r="B13" s="2">
        <v>77</v>
      </c>
      <c r="C13" s="3" t="str">
        <f>"010331921"</f>
        <v>010331921</v>
      </c>
      <c r="D13" s="3" t="s">
        <v>30</v>
      </c>
      <c r="E13" s="3"/>
      <c r="F13" s="3" t="s">
        <v>31</v>
      </c>
      <c r="G13" s="3">
        <v>338.54</v>
      </c>
    </row>
    <row r="14" spans="1:7" x14ac:dyDescent="0.25">
      <c r="A14" s="1" t="s">
        <v>3169</v>
      </c>
      <c r="B14" s="2">
        <v>77</v>
      </c>
      <c r="C14" s="3" t="str">
        <f>"010338683"</f>
        <v>010338683</v>
      </c>
      <c r="D14" s="3" t="s">
        <v>32</v>
      </c>
      <c r="E14" s="3" t="s">
        <v>33</v>
      </c>
      <c r="F14" s="3" t="s">
        <v>34</v>
      </c>
      <c r="G14" s="3">
        <v>2325.38</v>
      </c>
    </row>
    <row r="15" spans="1:7" x14ac:dyDescent="0.25">
      <c r="A15" s="1" t="s">
        <v>3169</v>
      </c>
      <c r="B15" s="2">
        <v>77</v>
      </c>
      <c r="C15" s="3" t="str">
        <f>"010339655"</f>
        <v>010339655</v>
      </c>
      <c r="D15" s="3" t="s">
        <v>35</v>
      </c>
      <c r="E15" s="3" t="s">
        <v>36</v>
      </c>
      <c r="F15" s="3" t="s">
        <v>37</v>
      </c>
      <c r="G15" s="3">
        <v>1432.4</v>
      </c>
    </row>
    <row r="16" spans="1:7" x14ac:dyDescent="0.25">
      <c r="A16" s="1" t="s">
        <v>3169</v>
      </c>
      <c r="B16" s="2">
        <v>77</v>
      </c>
      <c r="C16" s="3" t="str">
        <f>"010346031"</f>
        <v>010346031</v>
      </c>
      <c r="D16" s="3" t="s">
        <v>38</v>
      </c>
      <c r="E16" s="3" t="s">
        <v>39</v>
      </c>
      <c r="F16" s="3" t="s">
        <v>40</v>
      </c>
      <c r="G16" s="3">
        <v>1980.61</v>
      </c>
    </row>
    <row r="17" spans="1:7" x14ac:dyDescent="0.25">
      <c r="A17" s="1" t="s">
        <v>3169</v>
      </c>
      <c r="B17" s="2">
        <v>77</v>
      </c>
      <c r="C17" s="3" t="str">
        <f>"010347089"</f>
        <v>010347089</v>
      </c>
      <c r="D17" s="3" t="s">
        <v>41</v>
      </c>
      <c r="E17" s="3" t="s">
        <v>42</v>
      </c>
      <c r="F17" s="3" t="s">
        <v>43</v>
      </c>
      <c r="G17" s="3">
        <v>1473.71</v>
      </c>
    </row>
    <row r="18" spans="1:7" x14ac:dyDescent="0.25">
      <c r="A18" s="1" t="s">
        <v>3169</v>
      </c>
      <c r="B18" s="2">
        <v>77</v>
      </c>
      <c r="C18" s="3" t="str">
        <f>"010348131"</f>
        <v>010348131</v>
      </c>
      <c r="D18" s="3" t="s">
        <v>44</v>
      </c>
      <c r="E18" s="3" t="s">
        <v>45</v>
      </c>
      <c r="F18" s="3" t="s">
        <v>46</v>
      </c>
      <c r="G18" s="3">
        <v>2712.38</v>
      </c>
    </row>
    <row r="19" spans="1:7" x14ac:dyDescent="0.25">
      <c r="A19" s="1" t="s">
        <v>3169</v>
      </c>
      <c r="B19" s="2">
        <v>77</v>
      </c>
      <c r="C19" s="3" t="str">
        <f>"010350128"</f>
        <v>010350128</v>
      </c>
      <c r="D19" s="3" t="s">
        <v>47</v>
      </c>
      <c r="E19" s="3" t="s">
        <v>48</v>
      </c>
      <c r="F19" s="3" t="s">
        <v>49</v>
      </c>
      <c r="G19" s="3">
        <v>2729.72</v>
      </c>
    </row>
    <row r="20" spans="1:7" x14ac:dyDescent="0.25">
      <c r="A20" s="1" t="s">
        <v>3169</v>
      </c>
      <c r="B20" s="2">
        <v>77</v>
      </c>
      <c r="C20" s="3" t="str">
        <f>"010350306"</f>
        <v>010350306</v>
      </c>
      <c r="D20" s="3" t="s">
        <v>50</v>
      </c>
      <c r="E20" s="3" t="s">
        <v>51</v>
      </c>
      <c r="F20" s="3" t="s">
        <v>52</v>
      </c>
      <c r="G20" s="3">
        <v>2511.3000000000002</v>
      </c>
    </row>
    <row r="21" spans="1:7" x14ac:dyDescent="0.25">
      <c r="A21" s="1" t="s">
        <v>3169</v>
      </c>
      <c r="B21" s="2">
        <v>77</v>
      </c>
      <c r="C21" s="3" t="str">
        <f>"010352090"</f>
        <v>010352090</v>
      </c>
      <c r="D21" s="3" t="s">
        <v>53</v>
      </c>
      <c r="E21" s="3" t="s">
        <v>54</v>
      </c>
      <c r="F21" s="3" t="s">
        <v>55</v>
      </c>
      <c r="G21" s="3">
        <v>2730.56</v>
      </c>
    </row>
    <row r="22" spans="1:7" x14ac:dyDescent="0.25">
      <c r="A22" s="1" t="s">
        <v>3169</v>
      </c>
      <c r="B22" s="2">
        <v>77</v>
      </c>
      <c r="C22" s="3" t="str">
        <f>"010352325"</f>
        <v>010352325</v>
      </c>
      <c r="D22" s="3" t="s">
        <v>56</v>
      </c>
      <c r="E22" s="3" t="s">
        <v>57</v>
      </c>
      <c r="F22" s="3" t="s">
        <v>58</v>
      </c>
      <c r="G22" s="3">
        <v>1181.8599999999999</v>
      </c>
    </row>
    <row r="23" spans="1:7" x14ac:dyDescent="0.25">
      <c r="A23" s="1" t="s">
        <v>3169</v>
      </c>
      <c r="B23" s="2">
        <v>77</v>
      </c>
      <c r="C23" s="3" t="str">
        <f>"010353585"</f>
        <v>010353585</v>
      </c>
      <c r="D23" s="3" t="s">
        <v>59</v>
      </c>
      <c r="E23" s="3" t="s">
        <v>60</v>
      </c>
      <c r="F23" s="3" t="s">
        <v>61</v>
      </c>
      <c r="G23" s="3">
        <v>2773.58</v>
      </c>
    </row>
    <row r="24" spans="1:7" x14ac:dyDescent="0.25">
      <c r="A24" s="1" t="s">
        <v>3169</v>
      </c>
      <c r="B24" s="2">
        <v>77</v>
      </c>
      <c r="C24" s="3" t="str">
        <f>"010354751"</f>
        <v>010354751</v>
      </c>
      <c r="D24" s="3" t="s">
        <v>62</v>
      </c>
      <c r="E24" s="3" t="s">
        <v>63</v>
      </c>
      <c r="F24" s="3" t="s">
        <v>64</v>
      </c>
      <c r="G24" s="3">
        <v>2894.82</v>
      </c>
    </row>
    <row r="25" spans="1:7" x14ac:dyDescent="0.25">
      <c r="A25" s="1" t="s">
        <v>3169</v>
      </c>
      <c r="B25" s="2">
        <v>77</v>
      </c>
      <c r="C25" s="3" t="str">
        <f>"010355731"</f>
        <v>010355731</v>
      </c>
      <c r="D25" s="3" t="s">
        <v>65</v>
      </c>
      <c r="E25" s="3" t="s">
        <v>66</v>
      </c>
      <c r="F25" s="3" t="s">
        <v>67</v>
      </c>
      <c r="G25" s="3">
        <v>2069.59</v>
      </c>
    </row>
    <row r="26" spans="1:7" x14ac:dyDescent="0.25">
      <c r="A26" s="1" t="s">
        <v>3169</v>
      </c>
      <c r="B26" s="2">
        <v>77</v>
      </c>
      <c r="C26" s="3" t="str">
        <f>"010356673"</f>
        <v>010356673</v>
      </c>
      <c r="D26" s="3" t="s">
        <v>68</v>
      </c>
      <c r="E26" s="3" t="s">
        <v>69</v>
      </c>
      <c r="F26" s="3" t="s">
        <v>70</v>
      </c>
      <c r="G26" s="3">
        <v>6922.18</v>
      </c>
    </row>
    <row r="27" spans="1:7" x14ac:dyDescent="0.25">
      <c r="A27" s="1" t="s">
        <v>3169</v>
      </c>
      <c r="B27" s="2">
        <v>77</v>
      </c>
      <c r="C27" s="3" t="str">
        <f>"010356967"</f>
        <v>010356967</v>
      </c>
      <c r="D27" s="3" t="s">
        <v>71</v>
      </c>
      <c r="E27" s="3" t="s">
        <v>72</v>
      </c>
      <c r="F27" s="3" t="s">
        <v>73</v>
      </c>
      <c r="G27" s="3">
        <v>3498.26</v>
      </c>
    </row>
    <row r="28" spans="1:7" x14ac:dyDescent="0.25">
      <c r="A28" s="1" t="s">
        <v>3169</v>
      </c>
      <c r="B28" s="2">
        <v>77</v>
      </c>
      <c r="C28" s="3" t="str">
        <f>"010357106"</f>
        <v>010357106</v>
      </c>
      <c r="D28" s="3" t="s">
        <v>74</v>
      </c>
      <c r="E28" s="3" t="s">
        <v>75</v>
      </c>
      <c r="F28" s="3" t="s">
        <v>76</v>
      </c>
      <c r="G28" s="3">
        <v>2368.84</v>
      </c>
    </row>
    <row r="29" spans="1:7" x14ac:dyDescent="0.25">
      <c r="A29" s="1" t="s">
        <v>3169</v>
      </c>
      <c r="B29" s="2">
        <v>77</v>
      </c>
      <c r="C29" s="3" t="str">
        <f>"010357971"</f>
        <v>010357971</v>
      </c>
      <c r="D29" s="3" t="s">
        <v>77</v>
      </c>
      <c r="E29" s="3" t="s">
        <v>78</v>
      </c>
      <c r="F29" s="3" t="s">
        <v>79</v>
      </c>
      <c r="G29" s="3">
        <v>431.72</v>
      </c>
    </row>
    <row r="30" spans="1:7" x14ac:dyDescent="0.25">
      <c r="A30" s="1" t="s">
        <v>3169</v>
      </c>
      <c r="B30" s="2">
        <v>77</v>
      </c>
      <c r="C30" s="3" t="str">
        <f>"010358722"</f>
        <v>010358722</v>
      </c>
      <c r="D30" s="3" t="s">
        <v>68</v>
      </c>
      <c r="E30" s="3" t="s">
        <v>80</v>
      </c>
      <c r="F30" s="3" t="s">
        <v>81</v>
      </c>
      <c r="G30" s="3">
        <v>5884.54</v>
      </c>
    </row>
    <row r="31" spans="1:7" x14ac:dyDescent="0.25">
      <c r="A31" s="1" t="s">
        <v>3169</v>
      </c>
      <c r="B31" s="2">
        <v>77</v>
      </c>
      <c r="C31" s="3" t="str">
        <f>"010360883"</f>
        <v>010360883</v>
      </c>
      <c r="D31" s="3" t="s">
        <v>82</v>
      </c>
      <c r="E31" s="3" t="s">
        <v>83</v>
      </c>
      <c r="F31" s="3" t="s">
        <v>84</v>
      </c>
      <c r="G31" s="3">
        <v>1575</v>
      </c>
    </row>
    <row r="32" spans="1:7" x14ac:dyDescent="0.25">
      <c r="A32" s="1" t="s">
        <v>3169</v>
      </c>
      <c r="B32" s="2">
        <v>77</v>
      </c>
      <c r="C32" s="3" t="str">
        <f>"010360956"</f>
        <v>010360956</v>
      </c>
      <c r="D32" s="3" t="s">
        <v>7</v>
      </c>
      <c r="E32" s="3" t="s">
        <v>85</v>
      </c>
      <c r="F32" s="3" t="s">
        <v>86</v>
      </c>
      <c r="G32" s="3">
        <v>3226.38</v>
      </c>
    </row>
    <row r="33" spans="1:7" x14ac:dyDescent="0.25">
      <c r="A33" s="1" t="s">
        <v>3169</v>
      </c>
      <c r="B33" s="2">
        <v>77</v>
      </c>
      <c r="C33" s="3" t="str">
        <f>"010361626"</f>
        <v>010361626</v>
      </c>
      <c r="D33" s="3" t="s">
        <v>68</v>
      </c>
      <c r="E33" s="3" t="s">
        <v>87</v>
      </c>
      <c r="F33" s="3" t="s">
        <v>88</v>
      </c>
      <c r="G33" s="3">
        <v>5889.26</v>
      </c>
    </row>
    <row r="34" spans="1:7" x14ac:dyDescent="0.25">
      <c r="A34" s="1" t="s">
        <v>3169</v>
      </c>
      <c r="B34" s="2">
        <v>77</v>
      </c>
      <c r="C34" s="3" t="str">
        <f>"010363769"</f>
        <v>010363769</v>
      </c>
      <c r="D34" s="3" t="s">
        <v>89</v>
      </c>
      <c r="E34" s="3" t="s">
        <v>90</v>
      </c>
      <c r="F34" s="3" t="s">
        <v>91</v>
      </c>
      <c r="G34" s="3">
        <v>1643</v>
      </c>
    </row>
    <row r="35" spans="1:7" x14ac:dyDescent="0.25">
      <c r="A35" s="1" t="s">
        <v>3169</v>
      </c>
      <c r="B35" s="2">
        <v>77</v>
      </c>
      <c r="C35" s="3" t="str">
        <f>"010364692"</f>
        <v>010364692</v>
      </c>
      <c r="D35" s="3" t="s">
        <v>92</v>
      </c>
      <c r="E35" s="3" t="s">
        <v>93</v>
      </c>
      <c r="F35" s="3" t="s">
        <v>94</v>
      </c>
      <c r="G35" s="3">
        <v>1492.26</v>
      </c>
    </row>
    <row r="36" spans="1:7" x14ac:dyDescent="0.25">
      <c r="A36" s="1" t="s">
        <v>3169</v>
      </c>
      <c r="B36" s="2">
        <v>77</v>
      </c>
      <c r="C36" s="3" t="str">
        <f>"010365214"</f>
        <v>010365214</v>
      </c>
      <c r="D36" s="3" t="s">
        <v>95</v>
      </c>
      <c r="E36" s="3" t="s">
        <v>96</v>
      </c>
      <c r="F36" s="3" t="s">
        <v>97</v>
      </c>
      <c r="G36" s="3">
        <v>3759.44</v>
      </c>
    </row>
    <row r="37" spans="1:7" x14ac:dyDescent="0.25">
      <c r="A37" s="1" t="s">
        <v>3169</v>
      </c>
      <c r="B37" s="2">
        <v>77</v>
      </c>
      <c r="C37" s="3" t="str">
        <f>"010366733"</f>
        <v>010366733</v>
      </c>
      <c r="D37" s="3" t="s">
        <v>98</v>
      </c>
      <c r="E37" s="3"/>
      <c r="F37" s="3" t="s">
        <v>99</v>
      </c>
      <c r="G37" s="3">
        <v>4.32</v>
      </c>
    </row>
    <row r="38" spans="1:7" x14ac:dyDescent="0.25">
      <c r="A38" s="1" t="s">
        <v>3169</v>
      </c>
      <c r="B38" s="2">
        <v>77</v>
      </c>
      <c r="C38" s="3" t="str">
        <f>"010369287"</f>
        <v>010369287</v>
      </c>
      <c r="D38" s="3" t="s">
        <v>100</v>
      </c>
      <c r="E38" s="3" t="s">
        <v>101</v>
      </c>
      <c r="F38" s="3" t="s">
        <v>102</v>
      </c>
      <c r="G38" s="3">
        <v>3235.26</v>
      </c>
    </row>
    <row r="39" spans="1:7" x14ac:dyDescent="0.25">
      <c r="A39" s="1" t="s">
        <v>3169</v>
      </c>
      <c r="B39" s="2">
        <v>77</v>
      </c>
      <c r="C39" s="3" t="str">
        <f>"010369457"</f>
        <v>010369457</v>
      </c>
      <c r="D39" s="3" t="s">
        <v>68</v>
      </c>
      <c r="E39" s="3" t="s">
        <v>103</v>
      </c>
      <c r="F39" s="3" t="s">
        <v>104</v>
      </c>
      <c r="G39" s="3">
        <v>5596.52</v>
      </c>
    </row>
    <row r="40" spans="1:7" x14ac:dyDescent="0.25">
      <c r="A40" s="1" t="s">
        <v>3169</v>
      </c>
      <c r="B40" s="2">
        <v>77</v>
      </c>
      <c r="C40" s="3" t="str">
        <f>"010369864"</f>
        <v>010369864</v>
      </c>
      <c r="D40" s="3" t="s">
        <v>105</v>
      </c>
      <c r="E40" s="3" t="s">
        <v>106</v>
      </c>
      <c r="F40" s="3" t="s">
        <v>107</v>
      </c>
      <c r="G40" s="3">
        <v>2574.15</v>
      </c>
    </row>
    <row r="41" spans="1:7" x14ac:dyDescent="0.25">
      <c r="A41" s="1" t="s">
        <v>3169</v>
      </c>
      <c r="B41" s="2">
        <v>77</v>
      </c>
      <c r="C41" s="3" t="str">
        <f>"010373985"</f>
        <v>010373985</v>
      </c>
      <c r="D41" s="3" t="s">
        <v>108</v>
      </c>
      <c r="E41" s="3" t="s">
        <v>109</v>
      </c>
      <c r="F41" s="3" t="s">
        <v>110</v>
      </c>
      <c r="G41" s="3">
        <v>1755.87</v>
      </c>
    </row>
    <row r="42" spans="1:7" x14ac:dyDescent="0.25">
      <c r="A42" s="1" t="s">
        <v>3169</v>
      </c>
      <c r="B42" s="2">
        <v>77</v>
      </c>
      <c r="C42" s="3" t="str">
        <f>"010374426"</f>
        <v>010374426</v>
      </c>
      <c r="D42" s="3" t="s">
        <v>111</v>
      </c>
      <c r="E42" s="3"/>
      <c r="F42" s="3" t="s">
        <v>112</v>
      </c>
      <c r="G42" s="3">
        <v>388.54</v>
      </c>
    </row>
    <row r="43" spans="1:7" x14ac:dyDescent="0.25">
      <c r="A43" s="1" t="s">
        <v>3169</v>
      </c>
      <c r="B43" s="2">
        <v>77</v>
      </c>
      <c r="C43" s="3" t="str">
        <f>"010375074"</f>
        <v>010375074</v>
      </c>
      <c r="D43" s="3" t="s">
        <v>113</v>
      </c>
      <c r="E43" s="3" t="s">
        <v>114</v>
      </c>
      <c r="F43" s="3" t="s">
        <v>115</v>
      </c>
      <c r="G43" s="3">
        <v>10420.1</v>
      </c>
    </row>
    <row r="44" spans="1:7" x14ac:dyDescent="0.25">
      <c r="A44" s="1" t="s">
        <v>3169</v>
      </c>
      <c r="B44" s="2">
        <v>77</v>
      </c>
      <c r="C44" s="3" t="str">
        <f>"010375945"</f>
        <v>010375945</v>
      </c>
      <c r="D44" s="3" t="s">
        <v>116</v>
      </c>
      <c r="E44" s="3" t="s">
        <v>117</v>
      </c>
      <c r="F44" s="3" t="s">
        <v>118</v>
      </c>
      <c r="G44" s="3">
        <v>1665.68</v>
      </c>
    </row>
    <row r="45" spans="1:7" x14ac:dyDescent="0.25">
      <c r="A45" s="1" t="s">
        <v>3169</v>
      </c>
      <c r="B45" s="2">
        <v>77</v>
      </c>
      <c r="C45" s="3" t="str">
        <f>"010376275"</f>
        <v>010376275</v>
      </c>
      <c r="D45" s="3" t="s">
        <v>119</v>
      </c>
      <c r="E45" s="3" t="s">
        <v>120</v>
      </c>
      <c r="F45" s="3" t="s">
        <v>121</v>
      </c>
      <c r="G45" s="3">
        <v>3360.06</v>
      </c>
    </row>
    <row r="46" spans="1:7" x14ac:dyDescent="0.25">
      <c r="A46" s="1" t="s">
        <v>3169</v>
      </c>
      <c r="B46" s="2">
        <v>77</v>
      </c>
      <c r="C46" s="3" t="str">
        <f>"010376941"</f>
        <v>010376941</v>
      </c>
      <c r="D46" s="3" t="s">
        <v>122</v>
      </c>
      <c r="E46" s="3" t="s">
        <v>123</v>
      </c>
      <c r="F46" s="3" t="s">
        <v>124</v>
      </c>
      <c r="G46" s="3">
        <v>1791.73</v>
      </c>
    </row>
    <row r="47" spans="1:7" x14ac:dyDescent="0.25">
      <c r="A47" s="1" t="s">
        <v>3169</v>
      </c>
      <c r="B47" s="2">
        <v>77</v>
      </c>
      <c r="C47" s="3" t="str">
        <f>"010377336"</f>
        <v>010377336</v>
      </c>
      <c r="D47" s="3" t="s">
        <v>125</v>
      </c>
      <c r="E47" s="3" t="s">
        <v>126</v>
      </c>
      <c r="F47" s="3" t="s">
        <v>127</v>
      </c>
      <c r="G47" s="3">
        <v>2952.46</v>
      </c>
    </row>
    <row r="48" spans="1:7" x14ac:dyDescent="0.25">
      <c r="A48" s="1" t="s">
        <v>3169</v>
      </c>
      <c r="B48" s="2">
        <v>77</v>
      </c>
      <c r="C48" s="3" t="str">
        <f>"010377506"</f>
        <v>010377506</v>
      </c>
      <c r="D48" s="3" t="s">
        <v>68</v>
      </c>
      <c r="E48" s="3" t="s">
        <v>128</v>
      </c>
      <c r="F48" s="3" t="s">
        <v>129</v>
      </c>
      <c r="G48" s="3">
        <v>4386.32</v>
      </c>
    </row>
    <row r="49" spans="1:7" x14ac:dyDescent="0.25">
      <c r="A49" s="1" t="s">
        <v>3169</v>
      </c>
      <c r="B49" s="2">
        <v>77</v>
      </c>
      <c r="C49" s="3" t="str">
        <f>"010385185"</f>
        <v>010385185</v>
      </c>
      <c r="D49" s="3" t="s">
        <v>130</v>
      </c>
      <c r="E49" s="3"/>
      <c r="F49" s="3" t="s">
        <v>131</v>
      </c>
      <c r="G49" s="3">
        <v>10.64</v>
      </c>
    </row>
    <row r="50" spans="1:7" x14ac:dyDescent="0.25">
      <c r="A50" s="1" t="s">
        <v>3169</v>
      </c>
      <c r="B50" s="2">
        <v>77</v>
      </c>
      <c r="C50" s="3" t="str">
        <f>"010385827"</f>
        <v>010385827</v>
      </c>
      <c r="D50" s="3" t="s">
        <v>132</v>
      </c>
      <c r="E50" s="3"/>
      <c r="F50" s="3" t="s">
        <v>133</v>
      </c>
      <c r="G50" s="3">
        <v>1421.8</v>
      </c>
    </row>
    <row r="51" spans="1:7" x14ac:dyDescent="0.25">
      <c r="A51" s="1" t="s">
        <v>3169</v>
      </c>
      <c r="B51" s="2">
        <v>77</v>
      </c>
      <c r="C51" s="3" t="str">
        <f>"010385843"</f>
        <v>010385843</v>
      </c>
      <c r="D51" s="3" t="s">
        <v>134</v>
      </c>
      <c r="E51" s="3" t="s">
        <v>135</v>
      </c>
      <c r="F51" s="3" t="s">
        <v>136</v>
      </c>
      <c r="G51" s="3">
        <v>1884.58</v>
      </c>
    </row>
    <row r="52" spans="1:7" x14ac:dyDescent="0.25">
      <c r="A52" s="1" t="s">
        <v>3169</v>
      </c>
      <c r="B52" s="2">
        <v>77</v>
      </c>
      <c r="C52" s="3" t="str">
        <f>"010386602"</f>
        <v>010386602</v>
      </c>
      <c r="D52" s="3" t="s">
        <v>137</v>
      </c>
      <c r="E52" s="3" t="s">
        <v>138</v>
      </c>
      <c r="F52" s="3" t="s">
        <v>139</v>
      </c>
      <c r="G52" s="3">
        <v>1579.18</v>
      </c>
    </row>
    <row r="53" spans="1:7" x14ac:dyDescent="0.25">
      <c r="A53" s="1" t="s">
        <v>3169</v>
      </c>
      <c r="B53" s="2">
        <v>77</v>
      </c>
      <c r="C53" s="3" t="str">
        <f>"010386858"</f>
        <v>010386858</v>
      </c>
      <c r="D53" s="3" t="s">
        <v>140</v>
      </c>
      <c r="E53" s="3" t="s">
        <v>141</v>
      </c>
      <c r="F53" s="3" t="s">
        <v>142</v>
      </c>
      <c r="G53" s="3">
        <v>1661.56</v>
      </c>
    </row>
    <row r="54" spans="1:7" x14ac:dyDescent="0.25">
      <c r="A54" s="1" t="s">
        <v>3169</v>
      </c>
      <c r="B54" s="2">
        <v>77</v>
      </c>
      <c r="C54" s="3" t="str">
        <f>"010387420"</f>
        <v>010387420</v>
      </c>
      <c r="D54" s="3" t="s">
        <v>143</v>
      </c>
      <c r="E54" s="3" t="s">
        <v>144</v>
      </c>
      <c r="F54" s="3" t="s">
        <v>145</v>
      </c>
      <c r="G54" s="3">
        <v>3752.7</v>
      </c>
    </row>
    <row r="55" spans="1:7" x14ac:dyDescent="0.25">
      <c r="A55" s="1" t="s">
        <v>3169</v>
      </c>
      <c r="B55" s="2">
        <v>77</v>
      </c>
      <c r="C55" s="3" t="str">
        <f>"010389318"</f>
        <v>010389318</v>
      </c>
      <c r="D55" s="3" t="s">
        <v>146</v>
      </c>
      <c r="E55" s="3" t="s">
        <v>147</v>
      </c>
      <c r="F55" s="3" t="s">
        <v>148</v>
      </c>
      <c r="G55" s="3">
        <v>2480.11</v>
      </c>
    </row>
    <row r="56" spans="1:7" x14ac:dyDescent="0.25">
      <c r="A56" s="1" t="s">
        <v>3169</v>
      </c>
      <c r="B56" s="2">
        <v>77</v>
      </c>
      <c r="C56" s="3" t="str">
        <f>"010390006"</f>
        <v>010390006</v>
      </c>
      <c r="D56" s="3" t="s">
        <v>149</v>
      </c>
      <c r="E56" s="3" t="s">
        <v>150</v>
      </c>
      <c r="F56" s="3" t="s">
        <v>151</v>
      </c>
      <c r="G56" s="3">
        <v>2152.19</v>
      </c>
    </row>
    <row r="57" spans="1:7" x14ac:dyDescent="0.25">
      <c r="A57" s="1" t="s">
        <v>3169</v>
      </c>
      <c r="B57" s="2">
        <v>77</v>
      </c>
      <c r="C57" s="3" t="str">
        <f>"010390251"</f>
        <v>010390251</v>
      </c>
      <c r="D57" s="3" t="s">
        <v>152</v>
      </c>
      <c r="E57" s="3" t="s">
        <v>153</v>
      </c>
      <c r="F57" s="3" t="s">
        <v>154</v>
      </c>
      <c r="G57" s="3">
        <v>4044.26</v>
      </c>
    </row>
    <row r="58" spans="1:7" x14ac:dyDescent="0.25">
      <c r="A58" s="1" t="s">
        <v>3169</v>
      </c>
      <c r="B58" s="2">
        <v>77</v>
      </c>
      <c r="C58" s="3" t="str">
        <f>"010391363"</f>
        <v>010391363</v>
      </c>
      <c r="D58" s="3" t="s">
        <v>155</v>
      </c>
      <c r="E58" s="3" t="s">
        <v>156</v>
      </c>
      <c r="F58" s="3" t="s">
        <v>157</v>
      </c>
      <c r="G58" s="3">
        <v>11298.4</v>
      </c>
    </row>
    <row r="59" spans="1:7" x14ac:dyDescent="0.25">
      <c r="A59" s="1" t="s">
        <v>3169</v>
      </c>
      <c r="B59" s="2">
        <v>77</v>
      </c>
      <c r="C59" s="3" t="str">
        <f>"010392823"</f>
        <v>010392823</v>
      </c>
      <c r="D59" s="3" t="s">
        <v>158</v>
      </c>
      <c r="E59" s="3" t="s">
        <v>159</v>
      </c>
      <c r="F59" s="3" t="s">
        <v>160</v>
      </c>
      <c r="G59" s="3">
        <v>7686.48</v>
      </c>
    </row>
    <row r="60" spans="1:7" x14ac:dyDescent="0.25">
      <c r="A60" s="1" t="s">
        <v>3169</v>
      </c>
      <c r="B60" s="2">
        <v>77</v>
      </c>
      <c r="C60" s="3" t="str">
        <f>"010394613"</f>
        <v>010394613</v>
      </c>
      <c r="D60" s="3" t="s">
        <v>161</v>
      </c>
      <c r="E60" s="3"/>
      <c r="F60" s="3" t="s">
        <v>162</v>
      </c>
      <c r="G60" s="3">
        <v>21.38</v>
      </c>
    </row>
    <row r="61" spans="1:7" x14ac:dyDescent="0.25">
      <c r="A61" s="1" t="s">
        <v>3169</v>
      </c>
      <c r="B61" s="2">
        <v>77</v>
      </c>
      <c r="C61" s="3" t="str">
        <f>"010397280"</f>
        <v>010397280</v>
      </c>
      <c r="D61" s="3" t="s">
        <v>163</v>
      </c>
      <c r="E61" s="3" t="s">
        <v>164</v>
      </c>
      <c r="F61" s="3" t="s">
        <v>165</v>
      </c>
      <c r="G61" s="3">
        <v>3522.47</v>
      </c>
    </row>
    <row r="62" spans="1:7" x14ac:dyDescent="0.25">
      <c r="A62" s="1" t="s">
        <v>3169</v>
      </c>
      <c r="B62" s="2">
        <v>77</v>
      </c>
      <c r="C62" s="3" t="str">
        <f>"010402233"</f>
        <v>010402233</v>
      </c>
      <c r="D62" s="3" t="s">
        <v>166</v>
      </c>
      <c r="E62" s="3" t="s">
        <v>167</v>
      </c>
      <c r="F62" s="3" t="s">
        <v>168</v>
      </c>
      <c r="G62" s="3">
        <v>1359.33</v>
      </c>
    </row>
    <row r="63" spans="1:7" x14ac:dyDescent="0.25">
      <c r="A63" s="1" t="s">
        <v>3169</v>
      </c>
      <c r="B63" s="2">
        <v>77</v>
      </c>
      <c r="C63" s="3" t="str">
        <f>"010402403"</f>
        <v>010402403</v>
      </c>
      <c r="D63" s="3" t="s">
        <v>169</v>
      </c>
      <c r="E63" s="3" t="s">
        <v>170</v>
      </c>
      <c r="F63" s="3" t="s">
        <v>171</v>
      </c>
      <c r="G63" s="3">
        <v>4017.02</v>
      </c>
    </row>
    <row r="64" spans="1:7" x14ac:dyDescent="0.25">
      <c r="A64" s="1" t="s">
        <v>3169</v>
      </c>
      <c r="B64" s="2">
        <v>77</v>
      </c>
      <c r="C64" s="3" t="str">
        <f>"010404120"</f>
        <v>010404120</v>
      </c>
      <c r="D64" s="3" t="s">
        <v>172</v>
      </c>
      <c r="E64" s="3" t="s">
        <v>173</v>
      </c>
      <c r="F64" s="3" t="s">
        <v>174</v>
      </c>
      <c r="G64" s="3">
        <v>4403.42</v>
      </c>
    </row>
    <row r="65" spans="1:7" x14ac:dyDescent="0.25">
      <c r="A65" s="1" t="s">
        <v>3169</v>
      </c>
      <c r="B65" s="2">
        <v>77</v>
      </c>
      <c r="C65" s="3" t="str">
        <f>"010405461"</f>
        <v>010405461</v>
      </c>
      <c r="D65" s="3" t="s">
        <v>175</v>
      </c>
      <c r="E65" s="3" t="s">
        <v>176</v>
      </c>
      <c r="F65" s="3" t="s">
        <v>177</v>
      </c>
      <c r="G65" s="3">
        <v>5082.78</v>
      </c>
    </row>
    <row r="66" spans="1:7" x14ac:dyDescent="0.25">
      <c r="A66" s="1" t="s">
        <v>3169</v>
      </c>
      <c r="B66" s="2">
        <v>77</v>
      </c>
      <c r="C66" s="3" t="str">
        <f>"010407081"</f>
        <v>010407081</v>
      </c>
      <c r="D66" s="3" t="s">
        <v>178</v>
      </c>
      <c r="E66" s="3"/>
      <c r="F66" s="3" t="s">
        <v>179</v>
      </c>
      <c r="G66" s="3">
        <v>5.4</v>
      </c>
    </row>
    <row r="67" spans="1:7" x14ac:dyDescent="0.25">
      <c r="A67" s="1" t="s">
        <v>3169</v>
      </c>
      <c r="B67" s="2">
        <v>77</v>
      </c>
      <c r="C67" s="3" t="str">
        <f>"010408312"</f>
        <v>010408312</v>
      </c>
      <c r="D67" s="3" t="s">
        <v>180</v>
      </c>
      <c r="E67" s="3"/>
      <c r="F67" s="3" t="s">
        <v>181</v>
      </c>
      <c r="G67" s="3">
        <v>518.05999999999995</v>
      </c>
    </row>
    <row r="68" spans="1:7" x14ac:dyDescent="0.25">
      <c r="A68" s="1" t="s">
        <v>3169</v>
      </c>
      <c r="B68" s="2">
        <v>77</v>
      </c>
      <c r="C68" s="3" t="str">
        <f>"010408576"</f>
        <v>010408576</v>
      </c>
      <c r="D68" s="3" t="s">
        <v>182</v>
      </c>
      <c r="E68" s="3" t="s">
        <v>183</v>
      </c>
      <c r="F68" s="3" t="s">
        <v>184</v>
      </c>
      <c r="G68" s="3">
        <v>1034.21</v>
      </c>
    </row>
    <row r="69" spans="1:7" x14ac:dyDescent="0.25">
      <c r="A69" s="1" t="s">
        <v>3169</v>
      </c>
      <c r="B69" s="2">
        <v>77</v>
      </c>
      <c r="C69" s="3" t="str">
        <f>"010409610"</f>
        <v>010409610</v>
      </c>
      <c r="D69" s="3" t="s">
        <v>185</v>
      </c>
      <c r="E69" s="3" t="s">
        <v>186</v>
      </c>
      <c r="F69" s="3" t="s">
        <v>187</v>
      </c>
      <c r="G69" s="3">
        <v>4007.16</v>
      </c>
    </row>
    <row r="70" spans="1:7" x14ac:dyDescent="0.25">
      <c r="A70" s="1" t="s">
        <v>3169</v>
      </c>
      <c r="B70" s="2">
        <v>77</v>
      </c>
      <c r="C70" s="3" t="str">
        <f>"010413316"</f>
        <v>010413316</v>
      </c>
      <c r="D70" s="3" t="s">
        <v>188</v>
      </c>
      <c r="E70" s="3" t="s">
        <v>189</v>
      </c>
      <c r="F70" s="3" t="s">
        <v>190</v>
      </c>
      <c r="G70" s="3">
        <v>2559.17</v>
      </c>
    </row>
    <row r="71" spans="1:7" x14ac:dyDescent="0.25">
      <c r="A71" s="1" t="s">
        <v>3169</v>
      </c>
      <c r="B71" s="2">
        <v>77</v>
      </c>
      <c r="C71" s="3" t="str">
        <f>"010418954"</f>
        <v>010418954</v>
      </c>
      <c r="D71" s="3" t="s">
        <v>191</v>
      </c>
      <c r="E71" s="3" t="s">
        <v>192</v>
      </c>
      <c r="F71" s="3" t="s">
        <v>193</v>
      </c>
      <c r="G71" s="3">
        <v>3249.64</v>
      </c>
    </row>
    <row r="72" spans="1:7" x14ac:dyDescent="0.25">
      <c r="A72" s="1" t="s">
        <v>3169</v>
      </c>
      <c r="B72" s="2">
        <v>77</v>
      </c>
      <c r="C72" s="3" t="str">
        <f>"010421416"</f>
        <v>010421416</v>
      </c>
      <c r="D72" s="3" t="s">
        <v>194</v>
      </c>
      <c r="E72" s="3" t="s">
        <v>195</v>
      </c>
      <c r="F72" s="3" t="s">
        <v>196</v>
      </c>
      <c r="G72" s="3">
        <v>3445.56</v>
      </c>
    </row>
    <row r="73" spans="1:7" x14ac:dyDescent="0.25">
      <c r="A73" s="1" t="s">
        <v>3169</v>
      </c>
      <c r="B73" s="2">
        <v>77</v>
      </c>
      <c r="C73" s="3" t="str">
        <f>"010422137"</f>
        <v>010422137</v>
      </c>
      <c r="D73" s="3" t="s">
        <v>197</v>
      </c>
      <c r="E73" s="3" t="s">
        <v>198</v>
      </c>
      <c r="F73" s="3" t="s">
        <v>199</v>
      </c>
      <c r="G73" s="3">
        <v>1989.61</v>
      </c>
    </row>
    <row r="74" spans="1:7" x14ac:dyDescent="0.25">
      <c r="A74" s="1" t="s">
        <v>3169</v>
      </c>
      <c r="B74" s="2">
        <v>77</v>
      </c>
      <c r="C74" s="3" t="str">
        <f>"010426019"</f>
        <v>010426019</v>
      </c>
      <c r="D74" s="3" t="s">
        <v>200</v>
      </c>
      <c r="E74" s="3" t="s">
        <v>201</v>
      </c>
      <c r="F74" s="3" t="s">
        <v>202</v>
      </c>
      <c r="G74" s="3">
        <v>4487.6000000000004</v>
      </c>
    </row>
    <row r="75" spans="1:7" x14ac:dyDescent="0.25">
      <c r="A75" s="1" t="s">
        <v>3169</v>
      </c>
      <c r="B75" s="2">
        <v>77</v>
      </c>
      <c r="C75" s="3" t="str">
        <f>"010426736"</f>
        <v>010426736</v>
      </c>
      <c r="D75" s="3" t="s">
        <v>68</v>
      </c>
      <c r="E75" s="3" t="s">
        <v>203</v>
      </c>
      <c r="F75" s="3" t="s">
        <v>204</v>
      </c>
      <c r="G75" s="3">
        <v>8076.08</v>
      </c>
    </row>
    <row r="76" spans="1:7" x14ac:dyDescent="0.25">
      <c r="A76" s="1" t="s">
        <v>3169</v>
      </c>
      <c r="B76" s="2">
        <v>77</v>
      </c>
      <c r="C76" s="3" t="str">
        <f>"010431918"</f>
        <v>010431918</v>
      </c>
      <c r="D76" s="3" t="s">
        <v>205</v>
      </c>
      <c r="E76" s="3"/>
      <c r="F76" s="3" t="s">
        <v>206</v>
      </c>
      <c r="G76" s="3">
        <v>2621.8</v>
      </c>
    </row>
    <row r="77" spans="1:7" x14ac:dyDescent="0.25">
      <c r="A77" s="1" t="s">
        <v>3169</v>
      </c>
      <c r="B77" s="2">
        <v>77</v>
      </c>
      <c r="C77" s="3" t="str">
        <f>"010432701"</f>
        <v>010432701</v>
      </c>
      <c r="D77" s="3" t="s">
        <v>207</v>
      </c>
      <c r="E77" s="3" t="s">
        <v>208</v>
      </c>
      <c r="F77" s="3" t="s">
        <v>209</v>
      </c>
      <c r="G77" s="3">
        <v>3893.62</v>
      </c>
    </row>
    <row r="78" spans="1:7" x14ac:dyDescent="0.25">
      <c r="A78" s="1" t="s">
        <v>3169</v>
      </c>
      <c r="B78" s="2">
        <v>77</v>
      </c>
      <c r="C78" s="3" t="str">
        <f>"010434941"</f>
        <v>010434941</v>
      </c>
      <c r="D78" s="3" t="s">
        <v>210</v>
      </c>
      <c r="E78" s="3" t="s">
        <v>211</v>
      </c>
      <c r="F78" s="3" t="s">
        <v>212</v>
      </c>
      <c r="G78" s="3">
        <v>1647.21</v>
      </c>
    </row>
    <row r="79" spans="1:7" x14ac:dyDescent="0.25">
      <c r="A79" s="1" t="s">
        <v>3169</v>
      </c>
      <c r="B79" s="2">
        <v>77</v>
      </c>
      <c r="C79" s="3" t="str">
        <f>"010437010"</f>
        <v>010437010</v>
      </c>
      <c r="D79" s="3" t="s">
        <v>213</v>
      </c>
      <c r="E79" s="3"/>
      <c r="F79" s="3" t="s">
        <v>214</v>
      </c>
      <c r="G79" s="3">
        <v>122.9</v>
      </c>
    </row>
    <row r="80" spans="1:7" x14ac:dyDescent="0.25">
      <c r="A80" s="1" t="s">
        <v>3169</v>
      </c>
      <c r="B80" s="2">
        <v>77</v>
      </c>
      <c r="C80" s="3" t="str">
        <f>"010439447"</f>
        <v>010439447</v>
      </c>
      <c r="D80" s="3" t="s">
        <v>215</v>
      </c>
      <c r="E80" s="3"/>
      <c r="F80" s="3" t="s">
        <v>216</v>
      </c>
      <c r="G80" s="3">
        <v>7.4</v>
      </c>
    </row>
    <row r="81" spans="1:7" x14ac:dyDescent="0.25">
      <c r="A81" s="1" t="s">
        <v>3169</v>
      </c>
      <c r="B81" s="2">
        <v>77</v>
      </c>
      <c r="C81" s="3" t="str">
        <f>"010443630"</f>
        <v>010443630</v>
      </c>
      <c r="D81" s="3" t="s">
        <v>217</v>
      </c>
      <c r="E81" s="3" t="s">
        <v>218</v>
      </c>
      <c r="F81" s="3" t="s">
        <v>219</v>
      </c>
      <c r="G81" s="3">
        <v>4641.12</v>
      </c>
    </row>
    <row r="82" spans="1:7" x14ac:dyDescent="0.25">
      <c r="A82" s="1" t="s">
        <v>3169</v>
      </c>
      <c r="B82" s="2">
        <v>77</v>
      </c>
      <c r="C82" s="3" t="str">
        <f>"010444211"</f>
        <v>010444211</v>
      </c>
      <c r="D82" s="3" t="s">
        <v>220</v>
      </c>
      <c r="E82" s="3" t="s">
        <v>221</v>
      </c>
      <c r="F82" s="3" t="s">
        <v>222</v>
      </c>
      <c r="G82" s="3">
        <v>1013.82</v>
      </c>
    </row>
    <row r="83" spans="1:7" x14ac:dyDescent="0.25">
      <c r="A83" s="1" t="s">
        <v>3169</v>
      </c>
      <c r="B83" s="2">
        <v>77</v>
      </c>
      <c r="C83" s="3" t="str">
        <f>"010444718"</f>
        <v>010444718</v>
      </c>
      <c r="D83" s="3" t="s">
        <v>223</v>
      </c>
      <c r="E83" s="3" t="s">
        <v>224</v>
      </c>
      <c r="F83" s="3" t="s">
        <v>225</v>
      </c>
      <c r="G83" s="3">
        <v>1266.69</v>
      </c>
    </row>
    <row r="84" spans="1:7" x14ac:dyDescent="0.25">
      <c r="A84" s="1" t="s">
        <v>3169</v>
      </c>
      <c r="B84" s="2">
        <v>77</v>
      </c>
      <c r="C84" s="3" t="str">
        <f>"010445862"</f>
        <v>010445862</v>
      </c>
      <c r="D84" s="3" t="s">
        <v>226</v>
      </c>
      <c r="E84" s="3" t="s">
        <v>227</v>
      </c>
      <c r="F84" s="3" t="s">
        <v>228</v>
      </c>
      <c r="G84" s="3">
        <v>1628.24</v>
      </c>
    </row>
    <row r="85" spans="1:7" x14ac:dyDescent="0.25">
      <c r="A85" s="1" t="s">
        <v>3169</v>
      </c>
      <c r="B85" s="2">
        <v>77</v>
      </c>
      <c r="C85" s="3" t="str">
        <f>"010446117"</f>
        <v>010446117</v>
      </c>
      <c r="D85" s="3" t="s">
        <v>68</v>
      </c>
      <c r="E85" s="3" t="s">
        <v>229</v>
      </c>
      <c r="F85" s="3" t="s">
        <v>230</v>
      </c>
      <c r="G85" s="3">
        <v>6282.16</v>
      </c>
    </row>
    <row r="86" spans="1:7" x14ac:dyDescent="0.25">
      <c r="A86" s="1" t="s">
        <v>3169</v>
      </c>
      <c r="B86" s="2">
        <v>77</v>
      </c>
      <c r="C86" s="3" t="str">
        <f>"010446753"</f>
        <v>010446753</v>
      </c>
      <c r="D86" s="3" t="s">
        <v>68</v>
      </c>
      <c r="E86" s="3" t="s">
        <v>231</v>
      </c>
      <c r="F86" s="3" t="s">
        <v>232</v>
      </c>
      <c r="G86" s="3">
        <v>5919.84</v>
      </c>
    </row>
    <row r="87" spans="1:7" x14ac:dyDescent="0.25">
      <c r="A87" s="1" t="s">
        <v>3169</v>
      </c>
      <c r="B87" s="2">
        <v>77</v>
      </c>
      <c r="C87" s="3" t="str">
        <f>"010446788"</f>
        <v>010446788</v>
      </c>
      <c r="D87" s="3" t="s">
        <v>233</v>
      </c>
      <c r="E87" s="3" t="s">
        <v>234</v>
      </c>
      <c r="F87" s="3" t="s">
        <v>235</v>
      </c>
      <c r="G87" s="3">
        <v>2680.94</v>
      </c>
    </row>
    <row r="88" spans="1:7" x14ac:dyDescent="0.25">
      <c r="A88" s="1" t="s">
        <v>3169</v>
      </c>
      <c r="B88" s="2">
        <v>77</v>
      </c>
      <c r="C88" s="3" t="str">
        <f>"010451501"</f>
        <v>010451501</v>
      </c>
      <c r="D88" s="3" t="s">
        <v>236</v>
      </c>
      <c r="E88" s="3"/>
      <c r="F88" s="3" t="s">
        <v>237</v>
      </c>
      <c r="G88" s="3">
        <v>9.18</v>
      </c>
    </row>
    <row r="89" spans="1:7" x14ac:dyDescent="0.25">
      <c r="A89" s="1" t="s">
        <v>3169</v>
      </c>
      <c r="B89" s="2">
        <v>77</v>
      </c>
      <c r="C89" s="3" t="str">
        <f>"010451722"</f>
        <v>010451722</v>
      </c>
      <c r="D89" s="3" t="s">
        <v>238</v>
      </c>
      <c r="E89" s="3" t="s">
        <v>239</v>
      </c>
      <c r="F89" s="3" t="s">
        <v>240</v>
      </c>
      <c r="G89" s="3">
        <v>2371.7800000000002</v>
      </c>
    </row>
    <row r="90" spans="1:7" x14ac:dyDescent="0.25">
      <c r="A90" s="1" t="s">
        <v>3169</v>
      </c>
      <c r="B90" s="2">
        <v>77</v>
      </c>
      <c r="C90" s="3" t="str">
        <f>"010452494"</f>
        <v>010452494</v>
      </c>
      <c r="D90" s="3" t="s">
        <v>68</v>
      </c>
      <c r="E90" s="3" t="s">
        <v>241</v>
      </c>
      <c r="F90" s="3" t="s">
        <v>242</v>
      </c>
      <c r="G90" s="3">
        <v>5338.9</v>
      </c>
    </row>
    <row r="91" spans="1:7" x14ac:dyDescent="0.25">
      <c r="A91" s="1" t="s">
        <v>3169</v>
      </c>
      <c r="B91" s="2">
        <v>77</v>
      </c>
      <c r="C91" s="3" t="str">
        <f>"010458336"</f>
        <v>010458336</v>
      </c>
      <c r="D91" s="3" t="s">
        <v>243</v>
      </c>
      <c r="E91" s="3" t="s">
        <v>244</v>
      </c>
      <c r="F91" s="3" t="s">
        <v>245</v>
      </c>
      <c r="G91" s="3">
        <v>1959.85</v>
      </c>
    </row>
    <row r="92" spans="1:7" x14ac:dyDescent="0.25">
      <c r="A92" s="1" t="s">
        <v>3169</v>
      </c>
      <c r="B92" s="2">
        <v>77</v>
      </c>
      <c r="C92" s="3" t="str">
        <f>"010459898"</f>
        <v>010459898</v>
      </c>
      <c r="D92" s="3" t="s">
        <v>194</v>
      </c>
      <c r="E92" s="3"/>
      <c r="F92" s="3" t="s">
        <v>246</v>
      </c>
      <c r="G92" s="3">
        <v>479.74</v>
      </c>
    </row>
    <row r="93" spans="1:7" x14ac:dyDescent="0.25">
      <c r="A93" s="1" t="s">
        <v>3169</v>
      </c>
      <c r="B93" s="2">
        <v>77</v>
      </c>
      <c r="C93" s="3" t="str">
        <f>"010462511"</f>
        <v>010462511</v>
      </c>
      <c r="D93" s="3" t="s">
        <v>247</v>
      </c>
      <c r="E93" s="3" t="s">
        <v>248</v>
      </c>
      <c r="F93" s="3" t="s">
        <v>249</v>
      </c>
      <c r="G93" s="3">
        <v>6135.3</v>
      </c>
    </row>
    <row r="94" spans="1:7" x14ac:dyDescent="0.25">
      <c r="A94" s="1" t="s">
        <v>3169</v>
      </c>
      <c r="B94" s="2">
        <v>77</v>
      </c>
      <c r="C94" s="3" t="str">
        <f>"010463224"</f>
        <v>010463224</v>
      </c>
      <c r="D94" s="3" t="s">
        <v>250</v>
      </c>
      <c r="E94" s="3" t="s">
        <v>251</v>
      </c>
      <c r="F94" s="3" t="s">
        <v>252</v>
      </c>
      <c r="G94" s="3">
        <v>10684.6</v>
      </c>
    </row>
    <row r="95" spans="1:7" x14ac:dyDescent="0.25">
      <c r="A95" s="1" t="s">
        <v>3169</v>
      </c>
      <c r="B95" s="2">
        <v>77</v>
      </c>
      <c r="C95" s="3" t="str">
        <f>"010466029"</f>
        <v>010466029</v>
      </c>
      <c r="D95" s="3" t="s">
        <v>253</v>
      </c>
      <c r="E95" s="3" t="s">
        <v>254</v>
      </c>
      <c r="F95" s="3" t="s">
        <v>255</v>
      </c>
      <c r="G95" s="3">
        <v>2607.98</v>
      </c>
    </row>
    <row r="96" spans="1:7" x14ac:dyDescent="0.25">
      <c r="A96" s="1" t="s">
        <v>3169</v>
      </c>
      <c r="B96" s="2">
        <v>77</v>
      </c>
      <c r="C96" s="3" t="str">
        <f>"010470654"</f>
        <v>010470654</v>
      </c>
      <c r="D96" s="3" t="s">
        <v>256</v>
      </c>
      <c r="E96" s="3" t="s">
        <v>257</v>
      </c>
      <c r="F96" s="3" t="s">
        <v>258</v>
      </c>
      <c r="G96" s="3">
        <v>436.36</v>
      </c>
    </row>
    <row r="97" spans="1:7" x14ac:dyDescent="0.25">
      <c r="A97" s="1" t="s">
        <v>3169</v>
      </c>
      <c r="B97" s="2">
        <v>77</v>
      </c>
      <c r="C97" s="3" t="str">
        <f>"010471553"</f>
        <v>010471553</v>
      </c>
      <c r="D97" s="3" t="s">
        <v>259</v>
      </c>
      <c r="E97" s="3" t="s">
        <v>260</v>
      </c>
      <c r="F97" s="3" t="s">
        <v>261</v>
      </c>
      <c r="G97" s="3">
        <v>1509.52</v>
      </c>
    </row>
    <row r="98" spans="1:7" x14ac:dyDescent="0.25">
      <c r="A98" s="1" t="s">
        <v>3169</v>
      </c>
      <c r="B98" s="2">
        <v>77</v>
      </c>
      <c r="C98" s="3" t="str">
        <f>"010471669"</f>
        <v>010471669</v>
      </c>
      <c r="D98" s="3" t="s">
        <v>262</v>
      </c>
      <c r="E98" s="3" t="s">
        <v>263</v>
      </c>
      <c r="F98" s="3" t="s">
        <v>264</v>
      </c>
      <c r="G98" s="3">
        <v>1688.04</v>
      </c>
    </row>
    <row r="99" spans="1:7" x14ac:dyDescent="0.25">
      <c r="A99" s="1" t="s">
        <v>3169</v>
      </c>
      <c r="B99" s="2">
        <v>77</v>
      </c>
      <c r="C99" s="3" t="str">
        <f>"010472525"</f>
        <v>010472525</v>
      </c>
      <c r="D99" s="3" t="s">
        <v>265</v>
      </c>
      <c r="E99" s="3" t="s">
        <v>266</v>
      </c>
      <c r="F99" s="3" t="s">
        <v>267</v>
      </c>
      <c r="G99" s="3">
        <v>2149.81</v>
      </c>
    </row>
    <row r="100" spans="1:7" x14ac:dyDescent="0.25">
      <c r="A100" s="1" t="s">
        <v>3169</v>
      </c>
      <c r="B100" s="2">
        <v>77</v>
      </c>
      <c r="C100" s="3" t="str">
        <f>"010473068"</f>
        <v>010473068</v>
      </c>
      <c r="D100" s="3" t="s">
        <v>268</v>
      </c>
      <c r="E100" s="3" t="s">
        <v>269</v>
      </c>
      <c r="F100" s="3" t="s">
        <v>270</v>
      </c>
      <c r="G100" s="3">
        <v>1882.9</v>
      </c>
    </row>
    <row r="101" spans="1:7" x14ac:dyDescent="0.25">
      <c r="A101" s="1" t="s">
        <v>3169</v>
      </c>
      <c r="B101" s="2">
        <v>77</v>
      </c>
      <c r="C101" s="3" t="str">
        <f>"010474668"</f>
        <v>010474668</v>
      </c>
      <c r="D101" s="3" t="s">
        <v>271</v>
      </c>
      <c r="E101" s="3" t="s">
        <v>272</v>
      </c>
      <c r="F101" s="3" t="s">
        <v>273</v>
      </c>
      <c r="G101" s="3">
        <v>3955.38</v>
      </c>
    </row>
    <row r="102" spans="1:7" x14ac:dyDescent="0.25">
      <c r="A102" s="1" t="s">
        <v>3169</v>
      </c>
      <c r="B102" s="2">
        <v>77</v>
      </c>
      <c r="C102" s="3" t="str">
        <f>"010475281"</f>
        <v>010475281</v>
      </c>
      <c r="D102" s="3" t="s">
        <v>274</v>
      </c>
      <c r="E102" s="3" t="s">
        <v>275</v>
      </c>
      <c r="F102" s="3" t="s">
        <v>276</v>
      </c>
      <c r="G102" s="3">
        <v>1984.61</v>
      </c>
    </row>
    <row r="103" spans="1:7" x14ac:dyDescent="0.25">
      <c r="A103" s="1" t="s">
        <v>3169</v>
      </c>
      <c r="B103" s="2">
        <v>77</v>
      </c>
      <c r="C103" s="3" t="str">
        <f>"010475664"</f>
        <v>010475664</v>
      </c>
      <c r="D103" s="3" t="s">
        <v>277</v>
      </c>
      <c r="E103" s="3" t="s">
        <v>278</v>
      </c>
      <c r="F103" s="3" t="s">
        <v>279</v>
      </c>
      <c r="G103" s="3">
        <v>3032.32</v>
      </c>
    </row>
    <row r="104" spans="1:7" x14ac:dyDescent="0.25">
      <c r="A104" s="1" t="s">
        <v>3169</v>
      </c>
      <c r="B104" s="2">
        <v>77</v>
      </c>
      <c r="C104" s="3" t="str">
        <f>"010480773"</f>
        <v>010480773</v>
      </c>
      <c r="D104" s="3" t="s">
        <v>280</v>
      </c>
      <c r="E104" s="3"/>
      <c r="F104" s="3" t="s">
        <v>281</v>
      </c>
      <c r="G104" s="3">
        <v>4311.62</v>
      </c>
    </row>
    <row r="105" spans="1:7" x14ac:dyDescent="0.25">
      <c r="A105" s="1" t="s">
        <v>3169</v>
      </c>
      <c r="B105" s="2">
        <v>77</v>
      </c>
      <c r="C105" s="3" t="str">
        <f>"010481133"</f>
        <v>010481133</v>
      </c>
      <c r="D105" s="3" t="s">
        <v>282</v>
      </c>
      <c r="E105" s="3"/>
      <c r="F105" s="3" t="s">
        <v>283</v>
      </c>
      <c r="G105" s="3">
        <v>63.34</v>
      </c>
    </row>
    <row r="106" spans="1:7" x14ac:dyDescent="0.25">
      <c r="A106" s="1" t="s">
        <v>3169</v>
      </c>
      <c r="B106" s="2">
        <v>77</v>
      </c>
      <c r="C106" s="3" t="str">
        <f>"010484213"</f>
        <v>010484213</v>
      </c>
      <c r="D106" s="3" t="s">
        <v>284</v>
      </c>
      <c r="E106" s="3" t="s">
        <v>285</v>
      </c>
      <c r="F106" s="3" t="s">
        <v>286</v>
      </c>
      <c r="G106" s="3">
        <v>2380.2800000000002</v>
      </c>
    </row>
    <row r="107" spans="1:7" x14ac:dyDescent="0.25">
      <c r="A107" s="1" t="s">
        <v>3169</v>
      </c>
      <c r="B107" s="2">
        <v>77</v>
      </c>
      <c r="C107" s="3" t="str">
        <f>"010501959"</f>
        <v>010501959</v>
      </c>
      <c r="D107" s="3" t="s">
        <v>287</v>
      </c>
      <c r="E107" s="3" t="s">
        <v>288</v>
      </c>
      <c r="F107" s="3" t="s">
        <v>289</v>
      </c>
      <c r="G107" s="3">
        <v>2280.6</v>
      </c>
    </row>
    <row r="108" spans="1:7" x14ac:dyDescent="0.25">
      <c r="A108" s="1" t="s">
        <v>3169</v>
      </c>
      <c r="B108" s="2">
        <v>77</v>
      </c>
      <c r="C108" s="3" t="str">
        <f>"010504206"</f>
        <v>010504206</v>
      </c>
      <c r="D108" s="3" t="s">
        <v>7</v>
      </c>
      <c r="E108" s="3" t="s">
        <v>290</v>
      </c>
      <c r="F108" s="3" t="s">
        <v>291</v>
      </c>
      <c r="G108" s="3">
        <v>2082.09</v>
      </c>
    </row>
    <row r="109" spans="1:7" x14ac:dyDescent="0.25">
      <c r="A109" s="1" t="s">
        <v>3169</v>
      </c>
      <c r="B109" s="2">
        <v>77</v>
      </c>
      <c r="C109" s="3" t="str">
        <f>"010507388"</f>
        <v>010507388</v>
      </c>
      <c r="D109" s="3" t="s">
        <v>292</v>
      </c>
      <c r="E109" s="3"/>
      <c r="F109" s="3" t="s">
        <v>293</v>
      </c>
      <c r="G109" s="3">
        <v>415.4</v>
      </c>
    </row>
    <row r="110" spans="1:7" x14ac:dyDescent="0.25">
      <c r="A110" s="1" t="s">
        <v>3169</v>
      </c>
      <c r="B110" s="2">
        <v>77</v>
      </c>
      <c r="C110" s="3" t="str">
        <f>"010507701"</f>
        <v>010507701</v>
      </c>
      <c r="D110" s="3" t="s">
        <v>292</v>
      </c>
      <c r="E110" s="3"/>
      <c r="F110" s="3" t="s">
        <v>294</v>
      </c>
      <c r="G110" s="3">
        <v>1065.7</v>
      </c>
    </row>
    <row r="111" spans="1:7" x14ac:dyDescent="0.25">
      <c r="A111" s="1" t="s">
        <v>3169</v>
      </c>
      <c r="B111" s="2">
        <v>77</v>
      </c>
      <c r="C111" s="3" t="str">
        <f>"010507922"</f>
        <v>010507922</v>
      </c>
      <c r="D111" s="3" t="s">
        <v>295</v>
      </c>
      <c r="E111" s="3"/>
      <c r="F111" s="3" t="s">
        <v>296</v>
      </c>
      <c r="G111" s="3">
        <v>107.94</v>
      </c>
    </row>
    <row r="112" spans="1:7" x14ac:dyDescent="0.25">
      <c r="A112" s="1" t="s">
        <v>3169</v>
      </c>
      <c r="B112" s="2">
        <v>77</v>
      </c>
      <c r="C112" s="3" t="str">
        <f>"010509216"</f>
        <v>010509216</v>
      </c>
      <c r="D112" s="3" t="s">
        <v>292</v>
      </c>
      <c r="E112" s="3"/>
      <c r="F112" s="3" t="s">
        <v>297</v>
      </c>
      <c r="G112" s="3">
        <v>637.08000000000004</v>
      </c>
    </row>
    <row r="113" spans="1:7" x14ac:dyDescent="0.25">
      <c r="A113" s="1" t="s">
        <v>3169</v>
      </c>
      <c r="B113" s="2">
        <v>77</v>
      </c>
      <c r="C113" s="3" t="str">
        <f>"010509399"</f>
        <v>010509399</v>
      </c>
      <c r="D113" s="3" t="s">
        <v>298</v>
      </c>
      <c r="E113" s="3" t="s">
        <v>299</v>
      </c>
      <c r="F113" s="3" t="s">
        <v>300</v>
      </c>
      <c r="G113" s="3">
        <v>2629.07</v>
      </c>
    </row>
    <row r="114" spans="1:7" x14ac:dyDescent="0.25">
      <c r="A114" s="1" t="s">
        <v>3169</v>
      </c>
      <c r="B114" s="2">
        <v>77</v>
      </c>
      <c r="C114" s="3" t="str">
        <f>"010510923"</f>
        <v>010510923</v>
      </c>
      <c r="D114" s="3" t="s">
        <v>301</v>
      </c>
      <c r="E114" s="3" t="s">
        <v>302</v>
      </c>
      <c r="F114" s="3" t="s">
        <v>303</v>
      </c>
      <c r="G114" s="3">
        <v>4510.24</v>
      </c>
    </row>
    <row r="115" spans="1:7" x14ac:dyDescent="0.25">
      <c r="A115" s="1" t="s">
        <v>3169</v>
      </c>
      <c r="B115" s="2">
        <v>77</v>
      </c>
      <c r="C115" s="3" t="str">
        <f>"010512195"</f>
        <v>010512195</v>
      </c>
      <c r="D115" s="3" t="s">
        <v>304</v>
      </c>
      <c r="E115" s="3"/>
      <c r="F115" s="3" t="s">
        <v>305</v>
      </c>
      <c r="G115" s="3">
        <v>863.44</v>
      </c>
    </row>
    <row r="116" spans="1:7" x14ac:dyDescent="0.25">
      <c r="A116" s="1" t="s">
        <v>3169</v>
      </c>
      <c r="B116" s="2">
        <v>77</v>
      </c>
      <c r="C116" s="3" t="str">
        <f>"010512381"</f>
        <v>010512381</v>
      </c>
      <c r="D116" s="3" t="s">
        <v>306</v>
      </c>
      <c r="E116" s="3"/>
      <c r="F116" s="3" t="s">
        <v>307</v>
      </c>
      <c r="G116" s="3">
        <v>53.96</v>
      </c>
    </row>
    <row r="117" spans="1:7" x14ac:dyDescent="0.25">
      <c r="A117" s="1" t="s">
        <v>3169</v>
      </c>
      <c r="B117" s="2">
        <v>77</v>
      </c>
      <c r="C117" s="3" t="str">
        <f>"010512616"</f>
        <v>010512616</v>
      </c>
      <c r="D117" s="3" t="s">
        <v>308</v>
      </c>
      <c r="E117" s="3" t="s">
        <v>309</v>
      </c>
      <c r="F117" s="3" t="s">
        <v>310</v>
      </c>
      <c r="G117" s="3">
        <v>431.72</v>
      </c>
    </row>
    <row r="118" spans="1:7" x14ac:dyDescent="0.25">
      <c r="A118" s="1" t="s">
        <v>3169</v>
      </c>
      <c r="B118" s="2">
        <v>77</v>
      </c>
      <c r="C118" s="3" t="str">
        <f>"010513094"</f>
        <v>010513094</v>
      </c>
      <c r="D118" s="3" t="s">
        <v>311</v>
      </c>
      <c r="E118" s="3" t="s">
        <v>312</v>
      </c>
      <c r="F118" s="3" t="s">
        <v>313</v>
      </c>
      <c r="G118" s="3">
        <v>539.66</v>
      </c>
    </row>
    <row r="119" spans="1:7" x14ac:dyDescent="0.25">
      <c r="A119" s="1" t="s">
        <v>3169</v>
      </c>
      <c r="B119" s="2">
        <v>77</v>
      </c>
      <c r="C119" s="3" t="str">
        <f>"010513310"</f>
        <v>010513310</v>
      </c>
      <c r="D119" s="3" t="s">
        <v>314</v>
      </c>
      <c r="E119" s="3" t="s">
        <v>315</v>
      </c>
      <c r="F119" s="3" t="s">
        <v>316</v>
      </c>
      <c r="G119" s="3">
        <v>536.54</v>
      </c>
    </row>
    <row r="120" spans="1:7" x14ac:dyDescent="0.25">
      <c r="A120" s="1" t="s">
        <v>3169</v>
      </c>
      <c r="B120" s="2">
        <v>77</v>
      </c>
      <c r="C120" s="3" t="str">
        <f>"010513868"</f>
        <v>010513868</v>
      </c>
      <c r="D120" s="3" t="s">
        <v>317</v>
      </c>
      <c r="E120" s="3" t="s">
        <v>318</v>
      </c>
      <c r="F120" s="3" t="s">
        <v>319</v>
      </c>
      <c r="G120" s="3">
        <v>2578.44</v>
      </c>
    </row>
    <row r="121" spans="1:7" x14ac:dyDescent="0.25">
      <c r="A121" s="1" t="s">
        <v>3169</v>
      </c>
      <c r="B121" s="2">
        <v>77</v>
      </c>
      <c r="C121" s="3" t="str">
        <f>"010514058"</f>
        <v>010514058</v>
      </c>
      <c r="D121" s="3" t="s">
        <v>320</v>
      </c>
      <c r="E121" s="3" t="s">
        <v>321</v>
      </c>
      <c r="F121" s="3" t="s">
        <v>322</v>
      </c>
      <c r="G121" s="3">
        <v>2083.46</v>
      </c>
    </row>
    <row r="122" spans="1:7" x14ac:dyDescent="0.25">
      <c r="A122" s="1" t="s">
        <v>3169</v>
      </c>
      <c r="B122" s="2">
        <v>77</v>
      </c>
      <c r="C122" s="3" t="str">
        <f>"010521607"</f>
        <v>010521607</v>
      </c>
      <c r="D122" s="3" t="s">
        <v>7</v>
      </c>
      <c r="E122" s="3" t="s">
        <v>323</v>
      </c>
      <c r="F122" s="3" t="s">
        <v>324</v>
      </c>
      <c r="G122" s="3">
        <v>1895.56</v>
      </c>
    </row>
    <row r="123" spans="1:7" x14ac:dyDescent="0.25">
      <c r="A123" s="1" t="s">
        <v>3169</v>
      </c>
      <c r="B123" s="2">
        <v>77</v>
      </c>
      <c r="C123" s="3" t="str">
        <f>"010525459"</f>
        <v>010525459</v>
      </c>
      <c r="D123" s="3" t="s">
        <v>325</v>
      </c>
      <c r="E123" s="3" t="s">
        <v>326</v>
      </c>
      <c r="F123" s="3" t="s">
        <v>327</v>
      </c>
      <c r="G123" s="3">
        <v>2371.48</v>
      </c>
    </row>
    <row r="124" spans="1:7" x14ac:dyDescent="0.25">
      <c r="A124" s="1" t="s">
        <v>3169</v>
      </c>
      <c r="B124" s="2">
        <v>77</v>
      </c>
      <c r="C124" s="3" t="str">
        <f>"010526536"</f>
        <v>010526536</v>
      </c>
      <c r="D124" s="3" t="s">
        <v>328</v>
      </c>
      <c r="E124" s="3" t="s">
        <v>329</v>
      </c>
      <c r="F124" s="3" t="s">
        <v>330</v>
      </c>
      <c r="G124" s="3">
        <v>1641.4</v>
      </c>
    </row>
    <row r="125" spans="1:7" x14ac:dyDescent="0.25">
      <c r="A125" s="1" t="s">
        <v>3169</v>
      </c>
      <c r="B125" s="2">
        <v>77</v>
      </c>
      <c r="C125" s="3" t="str">
        <f>"010528059"</f>
        <v>010528059</v>
      </c>
      <c r="D125" s="3" t="s">
        <v>331</v>
      </c>
      <c r="E125" s="3" t="s">
        <v>332</v>
      </c>
      <c r="F125" s="3" t="s">
        <v>333</v>
      </c>
      <c r="G125" s="3">
        <v>1697.54</v>
      </c>
    </row>
    <row r="126" spans="1:7" x14ac:dyDescent="0.25">
      <c r="A126" s="1" t="s">
        <v>3169</v>
      </c>
      <c r="B126" s="2">
        <v>77</v>
      </c>
      <c r="C126" s="3" t="str">
        <f>"010529829"</f>
        <v>010529829</v>
      </c>
      <c r="D126" s="3" t="s">
        <v>146</v>
      </c>
      <c r="E126" s="3" t="s">
        <v>334</v>
      </c>
      <c r="F126" s="3" t="s">
        <v>335</v>
      </c>
      <c r="G126" s="3">
        <v>1866.45</v>
      </c>
    </row>
    <row r="127" spans="1:7" x14ac:dyDescent="0.25">
      <c r="A127" s="1" t="s">
        <v>3169</v>
      </c>
      <c r="B127" s="2">
        <v>77</v>
      </c>
      <c r="C127" s="3" t="str">
        <f>"010530932"</f>
        <v>010530932</v>
      </c>
      <c r="D127" s="3" t="s">
        <v>68</v>
      </c>
      <c r="E127" s="3" t="s">
        <v>336</v>
      </c>
      <c r="F127" s="3" t="s">
        <v>337</v>
      </c>
      <c r="G127" s="3">
        <v>9027.64</v>
      </c>
    </row>
    <row r="128" spans="1:7" x14ac:dyDescent="0.25">
      <c r="A128" s="1" t="s">
        <v>3169</v>
      </c>
      <c r="B128" s="2">
        <v>77</v>
      </c>
      <c r="C128" s="3" t="str">
        <f>"010530983"</f>
        <v>010530983</v>
      </c>
      <c r="D128" s="3" t="s">
        <v>338</v>
      </c>
      <c r="E128" s="3" t="s">
        <v>339</v>
      </c>
      <c r="F128" s="3" t="s">
        <v>340</v>
      </c>
      <c r="G128" s="3">
        <v>4305.22</v>
      </c>
    </row>
    <row r="129" spans="1:7" x14ac:dyDescent="0.25">
      <c r="A129" s="1" t="s">
        <v>3169</v>
      </c>
      <c r="B129" s="2">
        <v>77</v>
      </c>
      <c r="C129" s="3" t="str">
        <f>"010532781"</f>
        <v>010532781</v>
      </c>
      <c r="D129" s="3" t="s">
        <v>341</v>
      </c>
      <c r="E129" s="3"/>
      <c r="F129" s="3" t="s">
        <v>342</v>
      </c>
      <c r="G129" s="3">
        <v>2.14</v>
      </c>
    </row>
    <row r="130" spans="1:7" x14ac:dyDescent="0.25">
      <c r="A130" s="1" t="s">
        <v>3169</v>
      </c>
      <c r="B130" s="2">
        <v>77</v>
      </c>
      <c r="C130" s="3" t="str">
        <f>"010533966"</f>
        <v>010533966</v>
      </c>
      <c r="D130" s="3" t="s">
        <v>343</v>
      </c>
      <c r="E130" s="3"/>
      <c r="F130" s="3" t="s">
        <v>344</v>
      </c>
      <c r="G130" s="3">
        <v>31.08</v>
      </c>
    </row>
    <row r="131" spans="1:7" x14ac:dyDescent="0.25">
      <c r="A131" s="1" t="s">
        <v>3169</v>
      </c>
      <c r="B131" s="2">
        <v>77</v>
      </c>
      <c r="C131" s="3" t="str">
        <f>"010534490"</f>
        <v>010534490</v>
      </c>
      <c r="D131" s="3" t="s">
        <v>68</v>
      </c>
      <c r="E131" s="3" t="s">
        <v>345</v>
      </c>
      <c r="F131" s="3" t="s">
        <v>346</v>
      </c>
      <c r="G131" s="3">
        <v>5129.54</v>
      </c>
    </row>
    <row r="132" spans="1:7" x14ac:dyDescent="0.25">
      <c r="A132" s="1" t="s">
        <v>3169</v>
      </c>
      <c r="B132" s="2">
        <v>77</v>
      </c>
      <c r="C132" s="3" t="str">
        <f>"010536841"</f>
        <v>010536841</v>
      </c>
      <c r="D132" s="3" t="s">
        <v>347</v>
      </c>
      <c r="E132" s="3" t="s">
        <v>348</v>
      </c>
      <c r="F132" s="3" t="s">
        <v>349</v>
      </c>
      <c r="G132" s="3">
        <v>1574.71</v>
      </c>
    </row>
    <row r="133" spans="1:7" x14ac:dyDescent="0.25">
      <c r="A133" s="1" t="s">
        <v>3169</v>
      </c>
      <c r="B133" s="2">
        <v>77</v>
      </c>
      <c r="C133" s="3" t="str">
        <f>"010537511"</f>
        <v>010537511</v>
      </c>
      <c r="D133" s="3" t="s">
        <v>350</v>
      </c>
      <c r="E133" s="3" t="s">
        <v>351</v>
      </c>
      <c r="F133" s="3" t="s">
        <v>352</v>
      </c>
      <c r="G133" s="3">
        <v>3758.26</v>
      </c>
    </row>
    <row r="134" spans="1:7" x14ac:dyDescent="0.25">
      <c r="A134" s="1" t="s">
        <v>3169</v>
      </c>
      <c r="B134" s="2">
        <v>77</v>
      </c>
      <c r="C134" s="3" t="str">
        <f>"010538496"</f>
        <v>010538496</v>
      </c>
      <c r="D134" s="3" t="s">
        <v>353</v>
      </c>
      <c r="E134" s="3" t="s">
        <v>354</v>
      </c>
      <c r="F134" s="3" t="s">
        <v>355</v>
      </c>
      <c r="G134" s="3">
        <v>3373.58</v>
      </c>
    </row>
    <row r="135" spans="1:7" x14ac:dyDescent="0.25">
      <c r="A135" s="1" t="s">
        <v>3169</v>
      </c>
      <c r="B135" s="2">
        <v>77</v>
      </c>
      <c r="C135" s="3" t="str">
        <f>"010538860"</f>
        <v>010538860</v>
      </c>
      <c r="D135" s="3" t="s">
        <v>356</v>
      </c>
      <c r="E135" s="3"/>
      <c r="F135" s="3" t="s">
        <v>357</v>
      </c>
      <c r="G135" s="3">
        <v>863.44</v>
      </c>
    </row>
    <row r="136" spans="1:7" x14ac:dyDescent="0.25">
      <c r="A136" s="1" t="s">
        <v>3169</v>
      </c>
      <c r="B136" s="2">
        <v>77</v>
      </c>
      <c r="C136" s="3" t="str">
        <f>"010538941"</f>
        <v>010538941</v>
      </c>
      <c r="D136" s="3" t="s">
        <v>356</v>
      </c>
      <c r="E136" s="3"/>
      <c r="F136" s="3" t="s">
        <v>358</v>
      </c>
      <c r="G136" s="3">
        <v>323.77999999999997</v>
      </c>
    </row>
    <row r="137" spans="1:7" x14ac:dyDescent="0.25">
      <c r="A137" s="1" t="s">
        <v>3169</v>
      </c>
      <c r="B137" s="2">
        <v>77</v>
      </c>
      <c r="C137" s="3" t="str">
        <f>"010541500"</f>
        <v>010541500</v>
      </c>
      <c r="D137" s="3" t="s">
        <v>359</v>
      </c>
      <c r="E137" s="3" t="s">
        <v>360</v>
      </c>
      <c r="F137" s="3" t="s">
        <v>361</v>
      </c>
      <c r="G137" s="3">
        <v>1989.44</v>
      </c>
    </row>
    <row r="138" spans="1:7" x14ac:dyDescent="0.25">
      <c r="A138" s="1" t="s">
        <v>3169</v>
      </c>
      <c r="B138" s="2">
        <v>77</v>
      </c>
      <c r="C138" s="3" t="str">
        <f>"010541756"</f>
        <v>010541756</v>
      </c>
      <c r="D138" s="3" t="s">
        <v>362</v>
      </c>
      <c r="E138" s="3" t="s">
        <v>363</v>
      </c>
      <c r="F138" s="3" t="s">
        <v>364</v>
      </c>
      <c r="G138" s="3">
        <v>18639.52</v>
      </c>
    </row>
    <row r="139" spans="1:7" x14ac:dyDescent="0.25">
      <c r="A139" s="1" t="s">
        <v>3169</v>
      </c>
      <c r="B139" s="2">
        <v>77</v>
      </c>
      <c r="C139" s="3" t="str">
        <f>"010541802"</f>
        <v>010541802</v>
      </c>
      <c r="D139" s="3" t="s">
        <v>365</v>
      </c>
      <c r="E139" s="3" t="s">
        <v>366</v>
      </c>
      <c r="F139" s="3" t="s">
        <v>367</v>
      </c>
      <c r="G139" s="3">
        <v>3331.52</v>
      </c>
    </row>
    <row r="140" spans="1:7" x14ac:dyDescent="0.25">
      <c r="A140" s="1" t="s">
        <v>3169</v>
      </c>
      <c r="B140" s="2">
        <v>77</v>
      </c>
      <c r="C140" s="3" t="str">
        <f>"010542574"</f>
        <v>010542574</v>
      </c>
      <c r="D140" s="3" t="s">
        <v>368</v>
      </c>
      <c r="E140" s="3" t="s">
        <v>369</v>
      </c>
      <c r="F140" s="3" t="s">
        <v>370</v>
      </c>
      <c r="G140" s="3">
        <v>1764.74</v>
      </c>
    </row>
    <row r="141" spans="1:7" x14ac:dyDescent="0.25">
      <c r="A141" s="1" t="s">
        <v>3169</v>
      </c>
      <c r="B141" s="2">
        <v>77</v>
      </c>
      <c r="C141" s="3" t="str">
        <f>"010542833"</f>
        <v>010542833</v>
      </c>
      <c r="D141" s="3" t="s">
        <v>304</v>
      </c>
      <c r="E141" s="3"/>
      <c r="F141" s="3" t="s">
        <v>371</v>
      </c>
      <c r="G141" s="3">
        <v>755.5</v>
      </c>
    </row>
    <row r="142" spans="1:7" x14ac:dyDescent="0.25">
      <c r="A142" s="1" t="s">
        <v>3169</v>
      </c>
      <c r="B142" s="2">
        <v>77</v>
      </c>
      <c r="C142" s="3" t="str">
        <f>"010544666"</f>
        <v>010544666</v>
      </c>
      <c r="D142" s="3" t="s">
        <v>372</v>
      </c>
      <c r="E142" s="3" t="s">
        <v>373</v>
      </c>
      <c r="F142" s="3" t="s">
        <v>374</v>
      </c>
      <c r="G142" s="3">
        <v>1791.32</v>
      </c>
    </row>
    <row r="143" spans="1:7" x14ac:dyDescent="0.25">
      <c r="A143" s="1" t="s">
        <v>3169</v>
      </c>
      <c r="B143" s="2">
        <v>77</v>
      </c>
      <c r="C143" s="3" t="str">
        <f>"010545301"</f>
        <v>010545301</v>
      </c>
      <c r="D143" s="3" t="s">
        <v>325</v>
      </c>
      <c r="E143" s="3" t="s">
        <v>375</v>
      </c>
      <c r="F143" s="3" t="s">
        <v>376</v>
      </c>
      <c r="G143" s="3">
        <v>269.83</v>
      </c>
    </row>
    <row r="144" spans="1:7" x14ac:dyDescent="0.25">
      <c r="A144" s="1" t="s">
        <v>3169</v>
      </c>
      <c r="B144" s="2">
        <v>77</v>
      </c>
      <c r="C144" s="3" t="str">
        <f>"010547738"</f>
        <v>010547738</v>
      </c>
      <c r="D144" s="3" t="s">
        <v>377</v>
      </c>
      <c r="E144" s="3" t="s">
        <v>378</v>
      </c>
      <c r="F144" s="3" t="s">
        <v>379</v>
      </c>
      <c r="G144" s="3">
        <v>5864.26</v>
      </c>
    </row>
    <row r="145" spans="1:7" x14ac:dyDescent="0.25">
      <c r="A145" s="1" t="s">
        <v>3169</v>
      </c>
      <c r="B145" s="2">
        <v>77</v>
      </c>
      <c r="C145" s="3" t="str">
        <f>"010547932"</f>
        <v>010547932</v>
      </c>
      <c r="D145" s="3" t="s">
        <v>380</v>
      </c>
      <c r="E145" s="3" t="s">
        <v>381</v>
      </c>
      <c r="F145" s="3" t="s">
        <v>382</v>
      </c>
      <c r="G145" s="3">
        <v>4117.28</v>
      </c>
    </row>
    <row r="146" spans="1:7" x14ac:dyDescent="0.25">
      <c r="A146" s="1" t="s">
        <v>3169</v>
      </c>
      <c r="B146" s="2">
        <v>77</v>
      </c>
      <c r="C146" s="3" t="str">
        <f>"010548025"</f>
        <v>010548025</v>
      </c>
      <c r="D146" s="3" t="s">
        <v>383</v>
      </c>
      <c r="E146" s="3" t="s">
        <v>384</v>
      </c>
      <c r="F146" s="3" t="s">
        <v>385</v>
      </c>
      <c r="G146" s="3">
        <v>2228.12</v>
      </c>
    </row>
    <row r="147" spans="1:7" x14ac:dyDescent="0.25">
      <c r="A147" s="1" t="s">
        <v>3169</v>
      </c>
      <c r="B147" s="2">
        <v>77</v>
      </c>
      <c r="C147" s="3" t="str">
        <f>"010548033"</f>
        <v>010548033</v>
      </c>
      <c r="D147" s="3" t="s">
        <v>386</v>
      </c>
      <c r="E147" s="3" t="s">
        <v>387</v>
      </c>
      <c r="F147" s="3" t="s">
        <v>388</v>
      </c>
      <c r="G147" s="3">
        <v>5125.38</v>
      </c>
    </row>
    <row r="148" spans="1:7" x14ac:dyDescent="0.25">
      <c r="A148" s="1" t="s">
        <v>3169</v>
      </c>
      <c r="B148" s="2">
        <v>77</v>
      </c>
      <c r="C148" s="3" t="str">
        <f>"010548629"</f>
        <v>010548629</v>
      </c>
      <c r="D148" s="3" t="s">
        <v>389</v>
      </c>
      <c r="E148" s="3"/>
      <c r="F148" s="3" t="s">
        <v>390</v>
      </c>
      <c r="G148" s="3">
        <v>21.58</v>
      </c>
    </row>
    <row r="149" spans="1:7" x14ac:dyDescent="0.25">
      <c r="A149" s="1" t="s">
        <v>3169</v>
      </c>
      <c r="B149" s="2">
        <v>77</v>
      </c>
      <c r="C149" s="3" t="str">
        <f>"010551883"</f>
        <v>010551883</v>
      </c>
      <c r="D149" s="3" t="s">
        <v>391</v>
      </c>
      <c r="E149" s="3" t="s">
        <v>392</v>
      </c>
      <c r="F149" s="3" t="s">
        <v>393</v>
      </c>
      <c r="G149" s="3">
        <v>1530.31</v>
      </c>
    </row>
    <row r="150" spans="1:7" x14ac:dyDescent="0.25">
      <c r="A150" s="1" t="s">
        <v>3169</v>
      </c>
      <c r="B150" s="2">
        <v>77</v>
      </c>
      <c r="C150" s="3" t="str">
        <f>"010555366"</f>
        <v>010555366</v>
      </c>
      <c r="D150" s="3" t="s">
        <v>7</v>
      </c>
      <c r="E150" s="3" t="s">
        <v>394</v>
      </c>
      <c r="F150" s="3" t="s">
        <v>395</v>
      </c>
      <c r="G150" s="3">
        <v>4488.6400000000003</v>
      </c>
    </row>
    <row r="151" spans="1:7" x14ac:dyDescent="0.25">
      <c r="A151" s="1" t="s">
        <v>3169</v>
      </c>
      <c r="B151" s="2">
        <v>77</v>
      </c>
      <c r="C151" s="3" t="str">
        <f>"010555803"</f>
        <v>010555803</v>
      </c>
      <c r="D151" s="3" t="s">
        <v>396</v>
      </c>
      <c r="E151" s="3" t="s">
        <v>397</v>
      </c>
      <c r="F151" s="3" t="s">
        <v>398</v>
      </c>
      <c r="G151" s="3">
        <v>2313.6</v>
      </c>
    </row>
    <row r="152" spans="1:7" x14ac:dyDescent="0.25">
      <c r="A152" s="1" t="s">
        <v>3169</v>
      </c>
      <c r="B152" s="2">
        <v>77</v>
      </c>
      <c r="C152" s="3" t="str">
        <f>"010555838"</f>
        <v>010555838</v>
      </c>
      <c r="D152" s="3" t="s">
        <v>7</v>
      </c>
      <c r="E152" s="3" t="s">
        <v>399</v>
      </c>
      <c r="F152" s="3" t="s">
        <v>400</v>
      </c>
      <c r="G152" s="3">
        <v>1356.83</v>
      </c>
    </row>
    <row r="153" spans="1:7" x14ac:dyDescent="0.25">
      <c r="A153" s="1" t="s">
        <v>3169</v>
      </c>
      <c r="B153" s="2">
        <v>77</v>
      </c>
      <c r="C153" s="3" t="str">
        <f>"010556192"</f>
        <v>010556192</v>
      </c>
      <c r="D153" s="3" t="s">
        <v>401</v>
      </c>
      <c r="E153" s="3" t="s">
        <v>402</v>
      </c>
      <c r="F153" s="3" t="s">
        <v>403</v>
      </c>
      <c r="G153" s="3">
        <v>1737.37</v>
      </c>
    </row>
    <row r="154" spans="1:7" x14ac:dyDescent="0.25">
      <c r="A154" s="1" t="s">
        <v>3169</v>
      </c>
      <c r="B154" s="2">
        <v>77</v>
      </c>
      <c r="C154" s="3" t="str">
        <f>"010559078"</f>
        <v>010559078</v>
      </c>
      <c r="D154" s="3" t="s">
        <v>7</v>
      </c>
      <c r="E154" s="3" t="s">
        <v>404</v>
      </c>
      <c r="F154" s="3" t="s">
        <v>405</v>
      </c>
      <c r="G154" s="3">
        <v>2196.9</v>
      </c>
    </row>
    <row r="155" spans="1:7" x14ac:dyDescent="0.25">
      <c r="A155" s="1" t="s">
        <v>3169</v>
      </c>
      <c r="B155" s="2">
        <v>77</v>
      </c>
      <c r="C155" s="3" t="str">
        <f>"010560599"</f>
        <v>010560599</v>
      </c>
      <c r="D155" s="3" t="s">
        <v>406</v>
      </c>
      <c r="E155" s="3" t="s">
        <v>407</v>
      </c>
      <c r="F155" s="3" t="s">
        <v>408</v>
      </c>
      <c r="G155" s="3">
        <v>3191.98</v>
      </c>
    </row>
    <row r="156" spans="1:7" x14ac:dyDescent="0.25">
      <c r="A156" s="1" t="s">
        <v>3169</v>
      </c>
      <c r="B156" s="2">
        <v>77</v>
      </c>
      <c r="C156" s="3" t="str">
        <f>"010561811"</f>
        <v>010561811</v>
      </c>
      <c r="D156" s="3" t="s">
        <v>409</v>
      </c>
      <c r="E156" s="3" t="s">
        <v>410</v>
      </c>
      <c r="F156" s="3" t="s">
        <v>411</v>
      </c>
      <c r="G156" s="3">
        <v>2674.36</v>
      </c>
    </row>
    <row r="157" spans="1:7" x14ac:dyDescent="0.25">
      <c r="A157" s="1" t="s">
        <v>3169</v>
      </c>
      <c r="B157" s="2">
        <v>77</v>
      </c>
      <c r="C157" s="3" t="str">
        <f>"010562087"</f>
        <v>010562087</v>
      </c>
      <c r="D157" s="3" t="s">
        <v>409</v>
      </c>
      <c r="E157" s="3" t="s">
        <v>412</v>
      </c>
      <c r="F157" s="3" t="s">
        <v>413</v>
      </c>
      <c r="G157" s="3">
        <v>1954.56</v>
      </c>
    </row>
    <row r="158" spans="1:7" x14ac:dyDescent="0.25">
      <c r="A158" s="1" t="s">
        <v>3169</v>
      </c>
      <c r="B158" s="2">
        <v>77</v>
      </c>
      <c r="C158" s="3" t="str">
        <f>"010565647"</f>
        <v>010565647</v>
      </c>
      <c r="D158" s="3" t="s">
        <v>414</v>
      </c>
      <c r="E158" s="3" t="s">
        <v>415</v>
      </c>
      <c r="F158" s="3" t="s">
        <v>416</v>
      </c>
      <c r="G158" s="3">
        <v>1248.3399999999999</v>
      </c>
    </row>
    <row r="159" spans="1:7" x14ac:dyDescent="0.25">
      <c r="A159" s="1" t="s">
        <v>3169</v>
      </c>
      <c r="B159" s="2">
        <v>77</v>
      </c>
      <c r="C159" s="3" t="str">
        <f>"010565760"</f>
        <v>010565760</v>
      </c>
      <c r="D159" s="3" t="s">
        <v>417</v>
      </c>
      <c r="E159" s="3"/>
      <c r="F159" s="3" t="s">
        <v>418</v>
      </c>
      <c r="G159" s="3">
        <v>163.38</v>
      </c>
    </row>
    <row r="160" spans="1:7" x14ac:dyDescent="0.25">
      <c r="A160" s="1" t="s">
        <v>3169</v>
      </c>
      <c r="B160" s="2">
        <v>77</v>
      </c>
      <c r="C160" s="3" t="str">
        <f>"010569456"</f>
        <v>010569456</v>
      </c>
      <c r="D160" s="3" t="s">
        <v>419</v>
      </c>
      <c r="E160" s="3" t="s">
        <v>420</v>
      </c>
      <c r="F160" s="3" t="s">
        <v>421</v>
      </c>
      <c r="G160" s="3">
        <v>1465.9</v>
      </c>
    </row>
    <row r="161" spans="1:7" x14ac:dyDescent="0.25">
      <c r="A161" s="1" t="s">
        <v>3169</v>
      </c>
      <c r="B161" s="2">
        <v>77</v>
      </c>
      <c r="C161" s="3" t="str">
        <f>"010569790"</f>
        <v>010569790</v>
      </c>
      <c r="D161" s="3" t="s">
        <v>422</v>
      </c>
      <c r="E161" s="3" t="s">
        <v>423</v>
      </c>
      <c r="F161" s="3" t="s">
        <v>424</v>
      </c>
      <c r="G161" s="3">
        <v>4329.3599999999997</v>
      </c>
    </row>
    <row r="162" spans="1:7" x14ac:dyDescent="0.25">
      <c r="A162" s="1" t="s">
        <v>3169</v>
      </c>
      <c r="B162" s="2">
        <v>77</v>
      </c>
      <c r="C162" s="3" t="str">
        <f>"010569855"</f>
        <v>010569855</v>
      </c>
      <c r="D162" s="3" t="s">
        <v>7</v>
      </c>
      <c r="E162" s="3" t="s">
        <v>425</v>
      </c>
      <c r="F162" s="3" t="s">
        <v>426</v>
      </c>
      <c r="G162" s="3">
        <v>2008.72</v>
      </c>
    </row>
    <row r="163" spans="1:7" x14ac:dyDescent="0.25">
      <c r="A163" s="1" t="s">
        <v>3169</v>
      </c>
      <c r="B163" s="2">
        <v>77</v>
      </c>
      <c r="C163" s="3" t="str">
        <f>"010570101"</f>
        <v>010570101</v>
      </c>
      <c r="D163" s="3" t="s">
        <v>427</v>
      </c>
      <c r="E163" s="3" t="s">
        <v>428</v>
      </c>
      <c r="F163" s="3" t="s">
        <v>429</v>
      </c>
      <c r="G163" s="3">
        <v>3864.76</v>
      </c>
    </row>
    <row r="164" spans="1:7" x14ac:dyDescent="0.25">
      <c r="A164" s="1" t="s">
        <v>3169</v>
      </c>
      <c r="B164" s="2">
        <v>77</v>
      </c>
      <c r="C164" s="3" t="str">
        <f>"010572155"</f>
        <v>010572155</v>
      </c>
      <c r="D164" s="3" t="s">
        <v>430</v>
      </c>
      <c r="E164" s="3" t="s">
        <v>431</v>
      </c>
      <c r="F164" s="3" t="s">
        <v>432</v>
      </c>
      <c r="G164" s="3">
        <v>2047.51</v>
      </c>
    </row>
    <row r="165" spans="1:7" x14ac:dyDescent="0.25">
      <c r="A165" s="1" t="s">
        <v>3169</v>
      </c>
      <c r="B165" s="2">
        <v>77</v>
      </c>
      <c r="C165" s="3" t="str">
        <f>"010574050"</f>
        <v>010574050</v>
      </c>
      <c r="D165" s="3" t="s">
        <v>433</v>
      </c>
      <c r="E165" s="3"/>
      <c r="F165" s="3" t="s">
        <v>434</v>
      </c>
      <c r="G165" s="3">
        <v>112.98</v>
      </c>
    </row>
    <row r="166" spans="1:7" x14ac:dyDescent="0.25">
      <c r="A166" s="1" t="s">
        <v>3169</v>
      </c>
      <c r="B166" s="2">
        <v>77</v>
      </c>
      <c r="C166" s="3" t="str">
        <f>"010574670"</f>
        <v>010574670</v>
      </c>
      <c r="D166" s="3" t="s">
        <v>435</v>
      </c>
      <c r="E166" s="3" t="s">
        <v>436</v>
      </c>
      <c r="F166" s="3" t="s">
        <v>437</v>
      </c>
      <c r="G166" s="3">
        <v>3370.42</v>
      </c>
    </row>
    <row r="167" spans="1:7" x14ac:dyDescent="0.25">
      <c r="A167" s="1" t="s">
        <v>3169</v>
      </c>
      <c r="B167" s="2">
        <v>77</v>
      </c>
      <c r="C167" s="3" t="str">
        <f>"010575669"</f>
        <v>010575669</v>
      </c>
      <c r="D167" s="3" t="s">
        <v>438</v>
      </c>
      <c r="E167" s="3" t="s">
        <v>439</v>
      </c>
      <c r="F167" s="3" t="s">
        <v>440</v>
      </c>
      <c r="G167" s="3">
        <v>1088.9000000000001</v>
      </c>
    </row>
    <row r="168" spans="1:7" x14ac:dyDescent="0.25">
      <c r="A168" s="1" t="s">
        <v>3169</v>
      </c>
      <c r="B168" s="2">
        <v>77</v>
      </c>
      <c r="C168" s="3" t="str">
        <f>"010576002"</f>
        <v>010576002</v>
      </c>
      <c r="D168" s="3" t="s">
        <v>441</v>
      </c>
      <c r="E168" s="3" t="s">
        <v>442</v>
      </c>
      <c r="F168" s="3" t="s">
        <v>443</v>
      </c>
      <c r="G168" s="3">
        <v>2135.2399999999998</v>
      </c>
    </row>
    <row r="169" spans="1:7" x14ac:dyDescent="0.25">
      <c r="A169" s="1" t="s">
        <v>3169</v>
      </c>
      <c r="B169" s="2">
        <v>77</v>
      </c>
      <c r="C169" s="3" t="str">
        <f>"010577459"</f>
        <v>010577459</v>
      </c>
      <c r="D169" s="3" t="s">
        <v>444</v>
      </c>
      <c r="E169" s="3" t="s">
        <v>445</v>
      </c>
      <c r="F169" s="3" t="s">
        <v>446</v>
      </c>
      <c r="G169" s="3">
        <v>4083.76</v>
      </c>
    </row>
    <row r="170" spans="1:7" x14ac:dyDescent="0.25">
      <c r="A170" s="1" t="s">
        <v>3169</v>
      </c>
      <c r="B170" s="2">
        <v>77</v>
      </c>
      <c r="C170" s="3" t="str">
        <f>"010583580"</f>
        <v>010583580</v>
      </c>
      <c r="D170" s="3" t="s">
        <v>447</v>
      </c>
      <c r="E170" s="3" t="s">
        <v>448</v>
      </c>
      <c r="F170" s="3" t="s">
        <v>449</v>
      </c>
      <c r="G170" s="3">
        <v>3838.26</v>
      </c>
    </row>
    <row r="171" spans="1:7" x14ac:dyDescent="0.25">
      <c r="A171" s="1" t="s">
        <v>3169</v>
      </c>
      <c r="B171" s="2">
        <v>77</v>
      </c>
      <c r="C171" s="3" t="str">
        <f>"010584544"</f>
        <v>010584544</v>
      </c>
      <c r="D171" s="3" t="s">
        <v>450</v>
      </c>
      <c r="E171" s="3" t="s">
        <v>451</v>
      </c>
      <c r="F171" s="3" t="s">
        <v>452</v>
      </c>
      <c r="G171" s="3">
        <v>2059.89</v>
      </c>
    </row>
    <row r="172" spans="1:7" x14ac:dyDescent="0.25">
      <c r="A172" s="1" t="s">
        <v>3169</v>
      </c>
      <c r="B172" s="2">
        <v>77</v>
      </c>
      <c r="C172" s="3" t="str">
        <f>"010584668"</f>
        <v>010584668</v>
      </c>
      <c r="D172" s="3" t="s">
        <v>453</v>
      </c>
      <c r="E172" s="3" t="s">
        <v>454</v>
      </c>
      <c r="F172" s="3" t="s">
        <v>455</v>
      </c>
      <c r="G172" s="3">
        <v>4334.84</v>
      </c>
    </row>
    <row r="173" spans="1:7" x14ac:dyDescent="0.25">
      <c r="A173" s="1" t="s">
        <v>3169</v>
      </c>
      <c r="B173" s="2">
        <v>77</v>
      </c>
      <c r="C173" s="3" t="str">
        <f>"010588221"</f>
        <v>010588221</v>
      </c>
      <c r="D173" s="3" t="s">
        <v>456</v>
      </c>
      <c r="E173" s="3" t="s">
        <v>457</v>
      </c>
      <c r="F173" s="3" t="s">
        <v>458</v>
      </c>
      <c r="G173" s="3">
        <v>2348.4</v>
      </c>
    </row>
    <row r="174" spans="1:7" x14ac:dyDescent="0.25">
      <c r="A174" s="1" t="s">
        <v>3169</v>
      </c>
      <c r="B174" s="2">
        <v>77</v>
      </c>
      <c r="C174" s="3" t="str">
        <f>"010588620"</f>
        <v>010588620</v>
      </c>
      <c r="D174" s="3" t="s">
        <v>7</v>
      </c>
      <c r="E174" s="3" t="s">
        <v>459</v>
      </c>
      <c r="F174" s="3" t="s">
        <v>460</v>
      </c>
      <c r="G174" s="3">
        <v>2637.16</v>
      </c>
    </row>
    <row r="175" spans="1:7" x14ac:dyDescent="0.25">
      <c r="A175" s="1" t="s">
        <v>3169</v>
      </c>
      <c r="B175" s="2">
        <v>77</v>
      </c>
      <c r="C175" s="3" t="str">
        <f>"010588825"</f>
        <v>010588825</v>
      </c>
      <c r="D175" s="3" t="s">
        <v>461</v>
      </c>
      <c r="E175" s="3" t="s">
        <v>462</v>
      </c>
      <c r="F175" s="3" t="s">
        <v>463</v>
      </c>
      <c r="G175" s="3">
        <v>819.97</v>
      </c>
    </row>
    <row r="176" spans="1:7" x14ac:dyDescent="0.25">
      <c r="A176" s="1" t="s">
        <v>3169</v>
      </c>
      <c r="B176" s="2">
        <v>77</v>
      </c>
      <c r="C176" s="3" t="str">
        <f>"010589198"</f>
        <v>010589198</v>
      </c>
      <c r="D176" s="3" t="s">
        <v>461</v>
      </c>
      <c r="E176" s="3" t="s">
        <v>464</v>
      </c>
      <c r="F176" s="3" t="s">
        <v>465</v>
      </c>
      <c r="G176" s="3">
        <v>819.97</v>
      </c>
    </row>
    <row r="177" spans="1:7" x14ac:dyDescent="0.25">
      <c r="A177" s="1" t="s">
        <v>3169</v>
      </c>
      <c r="B177" s="2">
        <v>77</v>
      </c>
      <c r="C177" s="3" t="str">
        <f>"010589376"</f>
        <v>010589376</v>
      </c>
      <c r="D177" s="3" t="s">
        <v>7</v>
      </c>
      <c r="E177" s="3" t="s">
        <v>466</v>
      </c>
      <c r="F177" s="3" t="s">
        <v>467</v>
      </c>
      <c r="G177" s="3">
        <v>2358.58</v>
      </c>
    </row>
    <row r="178" spans="1:7" x14ac:dyDescent="0.25">
      <c r="A178" s="1" t="s">
        <v>3169</v>
      </c>
      <c r="B178" s="2">
        <v>77</v>
      </c>
      <c r="C178" s="3" t="str">
        <f>"010592733"</f>
        <v>010592733</v>
      </c>
      <c r="D178" s="3" t="s">
        <v>68</v>
      </c>
      <c r="E178" s="3" t="s">
        <v>468</v>
      </c>
      <c r="F178" s="3" t="s">
        <v>469</v>
      </c>
      <c r="G178" s="3">
        <v>6630.76</v>
      </c>
    </row>
    <row r="179" spans="1:7" x14ac:dyDescent="0.25">
      <c r="A179" s="1" t="s">
        <v>3169</v>
      </c>
      <c r="B179" s="2">
        <v>77</v>
      </c>
      <c r="C179" s="3" t="str">
        <f>"010592849"</f>
        <v>010592849</v>
      </c>
      <c r="D179" s="3" t="s">
        <v>470</v>
      </c>
      <c r="E179" s="3" t="s">
        <v>471</v>
      </c>
      <c r="F179" s="3" t="s">
        <v>472</v>
      </c>
      <c r="G179" s="3">
        <v>1630.98</v>
      </c>
    </row>
    <row r="180" spans="1:7" x14ac:dyDescent="0.25">
      <c r="A180" s="1" t="s">
        <v>3169</v>
      </c>
      <c r="B180" s="2">
        <v>77</v>
      </c>
      <c r="C180" s="3" t="str">
        <f>"010592946"</f>
        <v>010592946</v>
      </c>
      <c r="D180" s="3" t="s">
        <v>473</v>
      </c>
      <c r="E180" s="3" t="s">
        <v>474</v>
      </c>
      <c r="F180" s="3" t="s">
        <v>475</v>
      </c>
      <c r="G180" s="3">
        <v>1593.9</v>
      </c>
    </row>
    <row r="181" spans="1:7" x14ac:dyDescent="0.25">
      <c r="A181" s="1" t="s">
        <v>3169</v>
      </c>
      <c r="B181" s="2">
        <v>77</v>
      </c>
      <c r="C181" s="3" t="str">
        <f>"010593330"</f>
        <v>010593330</v>
      </c>
      <c r="D181" s="3" t="s">
        <v>68</v>
      </c>
      <c r="E181" s="3" t="s">
        <v>476</v>
      </c>
      <c r="F181" s="3" t="s">
        <v>477</v>
      </c>
      <c r="G181" s="3">
        <v>6070.28</v>
      </c>
    </row>
    <row r="182" spans="1:7" x14ac:dyDescent="0.25">
      <c r="A182" s="1" t="s">
        <v>3169</v>
      </c>
      <c r="B182" s="2">
        <v>77</v>
      </c>
      <c r="C182" s="3" t="str">
        <f>"010593470"</f>
        <v>010593470</v>
      </c>
      <c r="D182" s="3" t="s">
        <v>478</v>
      </c>
      <c r="E182" s="3"/>
      <c r="F182" s="3" t="s">
        <v>479</v>
      </c>
      <c r="G182" s="3">
        <v>107.94</v>
      </c>
    </row>
    <row r="183" spans="1:7" x14ac:dyDescent="0.25">
      <c r="A183" s="1" t="s">
        <v>3169</v>
      </c>
      <c r="B183" s="2">
        <v>77</v>
      </c>
      <c r="C183" s="3" t="str">
        <f>"010594477"</f>
        <v>010594477</v>
      </c>
      <c r="D183" s="3" t="s">
        <v>480</v>
      </c>
      <c r="E183" s="3" t="s">
        <v>481</v>
      </c>
      <c r="F183" s="3" t="s">
        <v>482</v>
      </c>
      <c r="G183" s="3">
        <v>3019.12</v>
      </c>
    </row>
    <row r="184" spans="1:7" x14ac:dyDescent="0.25">
      <c r="A184" s="1" t="s">
        <v>3169</v>
      </c>
      <c r="B184" s="2">
        <v>77</v>
      </c>
      <c r="C184" s="3" t="str">
        <f>"010596356"</f>
        <v>010596356</v>
      </c>
      <c r="D184" s="3" t="s">
        <v>483</v>
      </c>
      <c r="E184" s="3" t="s">
        <v>484</v>
      </c>
      <c r="F184" s="3" t="s">
        <v>485</v>
      </c>
      <c r="G184" s="3">
        <v>3142</v>
      </c>
    </row>
    <row r="185" spans="1:7" x14ac:dyDescent="0.25">
      <c r="A185" s="1" t="s">
        <v>3169</v>
      </c>
      <c r="B185" s="2">
        <v>77</v>
      </c>
      <c r="C185" s="3" t="str">
        <f>"010597794"</f>
        <v>010597794</v>
      </c>
      <c r="D185" s="3" t="s">
        <v>486</v>
      </c>
      <c r="E185" s="3"/>
      <c r="F185" s="3" t="s">
        <v>487</v>
      </c>
      <c r="G185" s="3">
        <v>21.1</v>
      </c>
    </row>
    <row r="186" spans="1:7" x14ac:dyDescent="0.25">
      <c r="A186" s="1" t="s">
        <v>3169</v>
      </c>
      <c r="B186" s="2">
        <v>77</v>
      </c>
      <c r="C186" s="3" t="str">
        <f>"010598332"</f>
        <v>010598332</v>
      </c>
      <c r="D186" s="3" t="s">
        <v>68</v>
      </c>
      <c r="E186" s="3" t="s">
        <v>488</v>
      </c>
      <c r="F186" s="3" t="s">
        <v>489</v>
      </c>
      <c r="G186" s="3">
        <v>19111.16</v>
      </c>
    </row>
    <row r="187" spans="1:7" x14ac:dyDescent="0.25">
      <c r="A187" s="1" t="s">
        <v>3169</v>
      </c>
      <c r="B187" s="2">
        <v>77</v>
      </c>
      <c r="C187" s="3" t="str">
        <f>"010598723"</f>
        <v>010598723</v>
      </c>
      <c r="D187" s="3" t="s">
        <v>490</v>
      </c>
      <c r="E187" s="3" t="s">
        <v>491</v>
      </c>
      <c r="F187" s="3" t="s">
        <v>492</v>
      </c>
      <c r="G187" s="3">
        <v>2282.33</v>
      </c>
    </row>
    <row r="188" spans="1:7" x14ac:dyDescent="0.25">
      <c r="A188" s="1" t="s">
        <v>3169</v>
      </c>
      <c r="B188" s="2">
        <v>77</v>
      </c>
      <c r="C188" s="3" t="str">
        <f>"010600418"</f>
        <v>010600418</v>
      </c>
      <c r="D188" s="3" t="s">
        <v>7</v>
      </c>
      <c r="E188" s="3" t="s">
        <v>493</v>
      </c>
      <c r="F188" s="3" t="s">
        <v>494</v>
      </c>
      <c r="G188" s="3">
        <v>3933.86</v>
      </c>
    </row>
    <row r="189" spans="1:7" x14ac:dyDescent="0.25">
      <c r="A189" s="1" t="s">
        <v>3169</v>
      </c>
      <c r="B189" s="2">
        <v>77</v>
      </c>
      <c r="C189" s="3" t="str">
        <f>"010603808"</f>
        <v>010603808</v>
      </c>
      <c r="D189" s="3" t="s">
        <v>495</v>
      </c>
      <c r="E189" s="3"/>
      <c r="F189" s="3" t="s">
        <v>496</v>
      </c>
      <c r="G189" s="3">
        <v>2296.4299999999998</v>
      </c>
    </row>
    <row r="190" spans="1:7" x14ac:dyDescent="0.25">
      <c r="A190" s="1" t="s">
        <v>3169</v>
      </c>
      <c r="B190" s="2">
        <v>77</v>
      </c>
      <c r="C190" s="3" t="str">
        <f>"010603883"</f>
        <v>010603883</v>
      </c>
      <c r="D190" s="3" t="s">
        <v>495</v>
      </c>
      <c r="E190" s="3"/>
      <c r="F190" s="3" t="s">
        <v>497</v>
      </c>
      <c r="G190" s="3">
        <v>1901.62</v>
      </c>
    </row>
    <row r="191" spans="1:7" x14ac:dyDescent="0.25">
      <c r="A191" s="1" t="s">
        <v>3169</v>
      </c>
      <c r="B191" s="2">
        <v>77</v>
      </c>
      <c r="C191" s="3" t="str">
        <f>"010603905"</f>
        <v>010603905</v>
      </c>
      <c r="D191" s="3" t="s">
        <v>495</v>
      </c>
      <c r="E191" s="3"/>
      <c r="F191" s="3" t="s">
        <v>498</v>
      </c>
      <c r="G191" s="3">
        <v>225.7</v>
      </c>
    </row>
    <row r="192" spans="1:7" x14ac:dyDescent="0.25">
      <c r="A192" s="1" t="s">
        <v>3169</v>
      </c>
      <c r="B192" s="2">
        <v>77</v>
      </c>
      <c r="C192" s="3" t="str">
        <f>"010604537"</f>
        <v>010604537</v>
      </c>
      <c r="D192" s="3" t="s">
        <v>499</v>
      </c>
      <c r="E192" s="3" t="s">
        <v>500</v>
      </c>
      <c r="F192" s="3" t="s">
        <v>501</v>
      </c>
      <c r="G192" s="3">
        <v>1279.8699999999999</v>
      </c>
    </row>
    <row r="193" spans="1:7" x14ac:dyDescent="0.25">
      <c r="A193" s="1" t="s">
        <v>3169</v>
      </c>
      <c r="B193" s="2">
        <v>77</v>
      </c>
      <c r="C193" s="3" t="str">
        <f>"010604979"</f>
        <v>010604979</v>
      </c>
      <c r="D193" s="3" t="s">
        <v>502</v>
      </c>
      <c r="E193" s="3" t="s">
        <v>503</v>
      </c>
      <c r="F193" s="3" t="s">
        <v>504</v>
      </c>
      <c r="G193" s="3">
        <v>193.62</v>
      </c>
    </row>
    <row r="194" spans="1:7" x14ac:dyDescent="0.25">
      <c r="A194" s="1" t="s">
        <v>3169</v>
      </c>
      <c r="B194" s="2">
        <v>77</v>
      </c>
      <c r="C194" s="3" t="str">
        <f>"010605053"</f>
        <v>010605053</v>
      </c>
      <c r="D194" s="3" t="s">
        <v>502</v>
      </c>
      <c r="E194" s="3"/>
      <c r="F194" s="3" t="s">
        <v>505</v>
      </c>
      <c r="G194" s="3">
        <v>29.32</v>
      </c>
    </row>
    <row r="195" spans="1:7" x14ac:dyDescent="0.25">
      <c r="A195" s="1" t="s">
        <v>3169</v>
      </c>
      <c r="B195" s="2">
        <v>77</v>
      </c>
      <c r="C195" s="3" t="str">
        <f>"010606343"</f>
        <v>010606343</v>
      </c>
      <c r="D195" s="3" t="s">
        <v>506</v>
      </c>
      <c r="E195" s="3" t="s">
        <v>507</v>
      </c>
      <c r="F195" s="3" t="s">
        <v>508</v>
      </c>
      <c r="G195" s="3">
        <v>3194.56</v>
      </c>
    </row>
    <row r="196" spans="1:7" x14ac:dyDescent="0.25">
      <c r="A196" s="1" t="s">
        <v>3169</v>
      </c>
      <c r="B196" s="2">
        <v>77</v>
      </c>
      <c r="C196" s="3" t="str">
        <f>"010607331"</f>
        <v>010607331</v>
      </c>
      <c r="D196" s="3" t="s">
        <v>509</v>
      </c>
      <c r="E196" s="3" t="s">
        <v>510</v>
      </c>
      <c r="F196" s="3" t="s">
        <v>511</v>
      </c>
      <c r="G196" s="3">
        <v>2462.1</v>
      </c>
    </row>
    <row r="197" spans="1:7" x14ac:dyDescent="0.25">
      <c r="A197" s="1" t="s">
        <v>3169</v>
      </c>
      <c r="B197" s="2">
        <v>77</v>
      </c>
      <c r="C197" s="3" t="str">
        <f>"010607773"</f>
        <v>010607773</v>
      </c>
      <c r="D197" s="3" t="s">
        <v>256</v>
      </c>
      <c r="E197" s="3" t="s">
        <v>512</v>
      </c>
      <c r="F197" s="3" t="s">
        <v>513</v>
      </c>
      <c r="G197" s="3">
        <v>1708.2</v>
      </c>
    </row>
    <row r="198" spans="1:7" x14ac:dyDescent="0.25">
      <c r="A198" s="1" t="s">
        <v>3169</v>
      </c>
      <c r="B198" s="2">
        <v>77</v>
      </c>
      <c r="C198" s="3" t="str">
        <f>"010609490"</f>
        <v>010609490</v>
      </c>
      <c r="D198" s="3" t="s">
        <v>514</v>
      </c>
      <c r="E198" s="3"/>
      <c r="F198" s="3" t="s">
        <v>515</v>
      </c>
      <c r="G198" s="3">
        <v>1331.55</v>
      </c>
    </row>
    <row r="199" spans="1:7" x14ac:dyDescent="0.25">
      <c r="A199" s="1" t="s">
        <v>3169</v>
      </c>
      <c r="B199" s="2">
        <v>77</v>
      </c>
      <c r="C199" s="3" t="str">
        <f>"010610154"</f>
        <v>010610154</v>
      </c>
      <c r="D199" s="3" t="s">
        <v>516</v>
      </c>
      <c r="E199" s="3"/>
      <c r="F199" s="3" t="s">
        <v>517</v>
      </c>
      <c r="G199" s="3">
        <v>269.82</v>
      </c>
    </row>
    <row r="200" spans="1:7" x14ac:dyDescent="0.25">
      <c r="A200" s="1" t="s">
        <v>3169</v>
      </c>
      <c r="B200" s="2">
        <v>77</v>
      </c>
      <c r="C200" s="3" t="str">
        <f>"010610820"</f>
        <v>010610820</v>
      </c>
      <c r="D200" s="3" t="s">
        <v>518</v>
      </c>
      <c r="E200" s="3" t="s">
        <v>519</v>
      </c>
      <c r="F200" s="3" t="s">
        <v>520</v>
      </c>
      <c r="G200" s="3">
        <v>9304.7999999999993</v>
      </c>
    </row>
    <row r="201" spans="1:7" x14ac:dyDescent="0.25">
      <c r="A201" s="1" t="s">
        <v>3169</v>
      </c>
      <c r="B201" s="2">
        <v>77</v>
      </c>
      <c r="C201" s="3" t="str">
        <f>"010611290"</f>
        <v>010611290</v>
      </c>
      <c r="D201" s="3" t="s">
        <v>521</v>
      </c>
      <c r="E201" s="3" t="s">
        <v>522</v>
      </c>
      <c r="F201" s="3" t="s">
        <v>523</v>
      </c>
      <c r="G201" s="3">
        <v>1371.96</v>
      </c>
    </row>
    <row r="202" spans="1:7" x14ac:dyDescent="0.25">
      <c r="A202" s="1" t="s">
        <v>3169</v>
      </c>
      <c r="B202" s="2">
        <v>77</v>
      </c>
      <c r="C202" s="3" t="str">
        <f>"010611894"</f>
        <v>010611894</v>
      </c>
      <c r="D202" s="3" t="s">
        <v>524</v>
      </c>
      <c r="E202" s="3" t="s">
        <v>525</v>
      </c>
      <c r="F202" s="3" t="s">
        <v>526</v>
      </c>
      <c r="G202" s="3">
        <v>2964.66</v>
      </c>
    </row>
    <row r="203" spans="1:7" x14ac:dyDescent="0.25">
      <c r="A203" s="1" t="s">
        <v>3169</v>
      </c>
      <c r="B203" s="2">
        <v>77</v>
      </c>
      <c r="C203" s="3" t="str">
        <f>"010616012"</f>
        <v>010616012</v>
      </c>
      <c r="D203" s="3" t="s">
        <v>527</v>
      </c>
      <c r="E203" s="3"/>
      <c r="F203" s="3" t="s">
        <v>528</v>
      </c>
      <c r="G203" s="3">
        <v>29.32</v>
      </c>
    </row>
    <row r="204" spans="1:7" x14ac:dyDescent="0.25">
      <c r="A204" s="1" t="s">
        <v>3169</v>
      </c>
      <c r="B204" s="2">
        <v>77</v>
      </c>
      <c r="C204" s="3" t="str">
        <f>"010616373"</f>
        <v>010616373</v>
      </c>
      <c r="D204" s="3" t="s">
        <v>529</v>
      </c>
      <c r="E204" s="3" t="s">
        <v>530</v>
      </c>
      <c r="F204" s="3" t="s">
        <v>531</v>
      </c>
      <c r="G204" s="3">
        <v>2606.52</v>
      </c>
    </row>
    <row r="205" spans="1:7" x14ac:dyDescent="0.25">
      <c r="A205" s="1" t="s">
        <v>3169</v>
      </c>
      <c r="B205" s="2">
        <v>77</v>
      </c>
      <c r="C205" s="3" t="str">
        <f>"010617574"</f>
        <v>010617574</v>
      </c>
      <c r="D205" s="3" t="s">
        <v>532</v>
      </c>
      <c r="E205" s="3" t="s">
        <v>533</v>
      </c>
      <c r="F205" s="3" t="s">
        <v>534</v>
      </c>
      <c r="G205" s="3">
        <v>2470.08</v>
      </c>
    </row>
    <row r="206" spans="1:7" x14ac:dyDescent="0.25">
      <c r="A206" s="1" t="s">
        <v>3169</v>
      </c>
      <c r="B206" s="2">
        <v>77</v>
      </c>
      <c r="C206" s="3" t="str">
        <f>"010618740"</f>
        <v>010618740</v>
      </c>
      <c r="D206" s="3" t="s">
        <v>535</v>
      </c>
      <c r="E206" s="3" t="s">
        <v>536</v>
      </c>
      <c r="F206" s="3" t="s">
        <v>537</v>
      </c>
      <c r="G206" s="3">
        <v>1774.36</v>
      </c>
    </row>
    <row r="207" spans="1:7" x14ac:dyDescent="0.25">
      <c r="A207" s="1" t="s">
        <v>3169</v>
      </c>
      <c r="B207" s="2">
        <v>77</v>
      </c>
      <c r="C207" s="3" t="str">
        <f>"010621539"</f>
        <v>010621539</v>
      </c>
      <c r="D207" s="3" t="s">
        <v>538</v>
      </c>
      <c r="E207" s="3" t="s">
        <v>539</v>
      </c>
      <c r="F207" s="3" t="s">
        <v>540</v>
      </c>
      <c r="G207" s="3">
        <v>3368.42</v>
      </c>
    </row>
    <row r="208" spans="1:7" x14ac:dyDescent="0.25">
      <c r="A208" s="1" t="s">
        <v>3169</v>
      </c>
      <c r="B208" s="2">
        <v>77</v>
      </c>
      <c r="C208" s="3" t="str">
        <f>"010623450"</f>
        <v>010623450</v>
      </c>
      <c r="D208" s="3" t="s">
        <v>68</v>
      </c>
      <c r="E208" s="3" t="s">
        <v>541</v>
      </c>
      <c r="F208" s="3" t="s">
        <v>542</v>
      </c>
      <c r="G208" s="3">
        <v>5379.96</v>
      </c>
    </row>
    <row r="209" spans="1:7" x14ac:dyDescent="0.25">
      <c r="A209" s="1" t="s">
        <v>3169</v>
      </c>
      <c r="B209" s="2">
        <v>77</v>
      </c>
      <c r="C209" s="3" t="str">
        <f>"010623655"</f>
        <v>010623655</v>
      </c>
      <c r="D209" s="3" t="s">
        <v>68</v>
      </c>
      <c r="E209" s="3" t="s">
        <v>543</v>
      </c>
      <c r="F209" s="3" t="s">
        <v>544</v>
      </c>
      <c r="G209" s="3">
        <v>12120.24</v>
      </c>
    </row>
    <row r="210" spans="1:7" x14ac:dyDescent="0.25">
      <c r="A210" s="1" t="s">
        <v>3169</v>
      </c>
      <c r="B210" s="2">
        <v>77</v>
      </c>
      <c r="C210" s="3" t="str">
        <f>"010624279"</f>
        <v>010624279</v>
      </c>
      <c r="D210" s="3" t="s">
        <v>545</v>
      </c>
      <c r="E210" s="3" t="s">
        <v>546</v>
      </c>
      <c r="F210" s="3" t="s">
        <v>547</v>
      </c>
      <c r="G210" s="3">
        <v>3837.94</v>
      </c>
    </row>
    <row r="211" spans="1:7" x14ac:dyDescent="0.25">
      <c r="A211" s="1" t="s">
        <v>3169</v>
      </c>
      <c r="B211" s="2">
        <v>77</v>
      </c>
      <c r="C211" s="3" t="str">
        <f>"010624449"</f>
        <v>010624449</v>
      </c>
      <c r="D211" s="3" t="s">
        <v>548</v>
      </c>
      <c r="E211" s="3" t="s">
        <v>549</v>
      </c>
      <c r="F211" s="3" t="s">
        <v>550</v>
      </c>
      <c r="G211" s="3">
        <v>3652.2</v>
      </c>
    </row>
    <row r="212" spans="1:7" x14ac:dyDescent="0.25">
      <c r="A212" s="1" t="s">
        <v>3169</v>
      </c>
      <c r="B212" s="2">
        <v>77</v>
      </c>
      <c r="C212" s="3" t="str">
        <f>"010624597"</f>
        <v>010624597</v>
      </c>
      <c r="D212" s="3" t="s">
        <v>551</v>
      </c>
      <c r="E212" s="3"/>
      <c r="F212" s="3" t="s">
        <v>552</v>
      </c>
      <c r="G212" s="3">
        <v>95.02</v>
      </c>
    </row>
    <row r="213" spans="1:7" x14ac:dyDescent="0.25">
      <c r="A213" s="1" t="s">
        <v>3169</v>
      </c>
      <c r="B213" s="2">
        <v>77</v>
      </c>
      <c r="C213" s="3" t="str">
        <f>"010624791"</f>
        <v>010624791</v>
      </c>
      <c r="D213" s="3" t="s">
        <v>553</v>
      </c>
      <c r="E213" s="3" t="s">
        <v>554</v>
      </c>
      <c r="F213" s="3" t="s">
        <v>555</v>
      </c>
      <c r="G213" s="3">
        <v>2290.02</v>
      </c>
    </row>
    <row r="214" spans="1:7" x14ac:dyDescent="0.25">
      <c r="A214" s="1" t="s">
        <v>3169</v>
      </c>
      <c r="B214" s="2">
        <v>77</v>
      </c>
      <c r="C214" s="3" t="str">
        <f>"010625119"</f>
        <v>010625119</v>
      </c>
      <c r="D214" s="3" t="s">
        <v>556</v>
      </c>
      <c r="E214" s="3" t="s">
        <v>557</v>
      </c>
      <c r="F214" s="3" t="s">
        <v>558</v>
      </c>
      <c r="G214" s="3">
        <v>1206.3499999999999</v>
      </c>
    </row>
    <row r="215" spans="1:7" x14ac:dyDescent="0.25">
      <c r="A215" s="1" t="s">
        <v>3169</v>
      </c>
      <c r="B215" s="2">
        <v>77</v>
      </c>
      <c r="C215" s="3" t="str">
        <f>"010626336"</f>
        <v>010626336</v>
      </c>
      <c r="D215" s="3" t="s">
        <v>559</v>
      </c>
      <c r="E215" s="3" t="s">
        <v>560</v>
      </c>
      <c r="F215" s="3" t="s">
        <v>561</v>
      </c>
      <c r="G215" s="3">
        <v>1299.58</v>
      </c>
    </row>
    <row r="216" spans="1:7" x14ac:dyDescent="0.25">
      <c r="A216" s="1" t="s">
        <v>3169</v>
      </c>
      <c r="B216" s="2">
        <v>77</v>
      </c>
      <c r="C216" s="3" t="str">
        <f>"010626565"</f>
        <v>010626565</v>
      </c>
      <c r="D216" s="3" t="s">
        <v>562</v>
      </c>
      <c r="E216" s="3"/>
      <c r="F216" s="3" t="s">
        <v>563</v>
      </c>
      <c r="G216" s="3">
        <v>1860.58</v>
      </c>
    </row>
    <row r="217" spans="1:7" x14ac:dyDescent="0.25">
      <c r="A217" s="1" t="s">
        <v>3169</v>
      </c>
      <c r="B217" s="2">
        <v>77</v>
      </c>
      <c r="C217" s="3" t="str">
        <f>"010626581"</f>
        <v>010626581</v>
      </c>
      <c r="D217" s="3" t="s">
        <v>562</v>
      </c>
      <c r="E217" s="3" t="s">
        <v>564</v>
      </c>
      <c r="F217" s="3" t="s">
        <v>565</v>
      </c>
      <c r="G217" s="3">
        <v>1453.92</v>
      </c>
    </row>
    <row r="218" spans="1:7" x14ac:dyDescent="0.25">
      <c r="A218" s="1" t="s">
        <v>3169</v>
      </c>
      <c r="B218" s="2">
        <v>77</v>
      </c>
      <c r="C218" s="3" t="str">
        <f>"010626743"</f>
        <v>010626743</v>
      </c>
      <c r="D218" s="3" t="s">
        <v>562</v>
      </c>
      <c r="E218" s="3"/>
      <c r="F218" s="3" t="s">
        <v>566</v>
      </c>
      <c r="G218" s="3">
        <v>3992.14</v>
      </c>
    </row>
    <row r="219" spans="1:7" x14ac:dyDescent="0.25">
      <c r="A219" s="1" t="s">
        <v>3169</v>
      </c>
      <c r="B219" s="2">
        <v>77</v>
      </c>
      <c r="C219" s="3" t="str">
        <f>"010627367"</f>
        <v>010627367</v>
      </c>
      <c r="D219" s="3" t="s">
        <v>567</v>
      </c>
      <c r="E219" s="3" t="s">
        <v>568</v>
      </c>
      <c r="F219" s="3" t="s">
        <v>569</v>
      </c>
      <c r="G219" s="3">
        <v>4130.41</v>
      </c>
    </row>
    <row r="220" spans="1:7" x14ac:dyDescent="0.25">
      <c r="A220" s="1" t="s">
        <v>3169</v>
      </c>
      <c r="B220" s="2">
        <v>77</v>
      </c>
      <c r="C220" s="3" t="str">
        <f>"010629785"</f>
        <v>010629785</v>
      </c>
      <c r="D220" s="3" t="s">
        <v>559</v>
      </c>
      <c r="E220" s="3" t="s">
        <v>570</v>
      </c>
      <c r="F220" s="3" t="s">
        <v>571</v>
      </c>
      <c r="G220" s="3">
        <v>524.91999999999996</v>
      </c>
    </row>
    <row r="221" spans="1:7" x14ac:dyDescent="0.25">
      <c r="A221" s="1" t="s">
        <v>3169</v>
      </c>
      <c r="B221" s="2">
        <v>77</v>
      </c>
      <c r="C221" s="3" t="str">
        <f>"010629947"</f>
        <v>010629947</v>
      </c>
      <c r="D221" s="3" t="s">
        <v>68</v>
      </c>
      <c r="E221" s="3" t="s">
        <v>572</v>
      </c>
      <c r="F221" s="3" t="s">
        <v>573</v>
      </c>
      <c r="G221" s="3">
        <v>8540.82</v>
      </c>
    </row>
    <row r="222" spans="1:7" x14ac:dyDescent="0.25">
      <c r="A222" s="1" t="s">
        <v>3169</v>
      </c>
      <c r="B222" s="2">
        <v>77</v>
      </c>
      <c r="C222" s="3" t="str">
        <f>"010630031"</f>
        <v>010630031</v>
      </c>
      <c r="D222" s="3" t="s">
        <v>68</v>
      </c>
      <c r="E222" s="3" t="s">
        <v>574</v>
      </c>
      <c r="F222" s="3" t="s">
        <v>575</v>
      </c>
      <c r="G222" s="3">
        <v>6399.4</v>
      </c>
    </row>
    <row r="223" spans="1:7" x14ac:dyDescent="0.25">
      <c r="A223" s="1" t="s">
        <v>3169</v>
      </c>
      <c r="B223" s="2">
        <v>77</v>
      </c>
      <c r="C223" s="3" t="str">
        <f>"010633340"</f>
        <v>010633340</v>
      </c>
      <c r="D223" s="3" t="s">
        <v>576</v>
      </c>
      <c r="E223" s="3" t="s">
        <v>577</v>
      </c>
      <c r="F223" s="3" t="s">
        <v>578</v>
      </c>
      <c r="G223" s="3">
        <v>4167.58</v>
      </c>
    </row>
    <row r="224" spans="1:7" x14ac:dyDescent="0.25">
      <c r="A224" s="1" t="s">
        <v>3169</v>
      </c>
      <c r="B224" s="2">
        <v>77</v>
      </c>
      <c r="C224" s="3" t="str">
        <f>"010633626"</f>
        <v>010633626</v>
      </c>
      <c r="D224" s="3" t="s">
        <v>292</v>
      </c>
      <c r="E224" s="3"/>
      <c r="F224" s="3" t="s">
        <v>579</v>
      </c>
      <c r="G224" s="3">
        <v>96.84</v>
      </c>
    </row>
    <row r="225" spans="1:7" x14ac:dyDescent="0.25">
      <c r="A225" s="1" t="s">
        <v>3169</v>
      </c>
      <c r="B225" s="2">
        <v>77</v>
      </c>
      <c r="C225" s="3" t="str">
        <f>"010633715"</f>
        <v>010633715</v>
      </c>
      <c r="D225" s="3" t="s">
        <v>580</v>
      </c>
      <c r="E225" s="3" t="s">
        <v>581</v>
      </c>
      <c r="F225" s="3" t="s">
        <v>582</v>
      </c>
      <c r="G225" s="3">
        <v>2758.48</v>
      </c>
    </row>
    <row r="226" spans="1:7" x14ac:dyDescent="0.25">
      <c r="A226" s="1" t="s">
        <v>3169</v>
      </c>
      <c r="B226" s="2">
        <v>77</v>
      </c>
      <c r="C226" s="3" t="str">
        <f>"010633766"</f>
        <v>010633766</v>
      </c>
      <c r="D226" s="3" t="s">
        <v>583</v>
      </c>
      <c r="E226" s="3"/>
      <c r="F226" s="3" t="s">
        <v>584</v>
      </c>
      <c r="G226" s="3">
        <v>48.34</v>
      </c>
    </row>
    <row r="227" spans="1:7" x14ac:dyDescent="0.25">
      <c r="A227" s="1" t="s">
        <v>3169</v>
      </c>
      <c r="B227" s="2">
        <v>77</v>
      </c>
      <c r="C227" s="3" t="str">
        <f>"010634835"</f>
        <v>010634835</v>
      </c>
      <c r="D227" s="3" t="s">
        <v>585</v>
      </c>
      <c r="E227" s="3" t="s">
        <v>586</v>
      </c>
      <c r="F227" s="3" t="s">
        <v>587</v>
      </c>
      <c r="G227" s="3">
        <v>591.24</v>
      </c>
    </row>
    <row r="228" spans="1:7" x14ac:dyDescent="0.25">
      <c r="A228" s="1" t="s">
        <v>3169</v>
      </c>
      <c r="B228" s="2">
        <v>77</v>
      </c>
      <c r="C228" s="3" t="str">
        <f>"010635645"</f>
        <v>010635645</v>
      </c>
      <c r="D228" s="3" t="s">
        <v>588</v>
      </c>
      <c r="E228" s="3" t="s">
        <v>589</v>
      </c>
      <c r="F228" s="3" t="s">
        <v>590</v>
      </c>
      <c r="G228" s="3">
        <v>1924.5</v>
      </c>
    </row>
    <row r="229" spans="1:7" x14ac:dyDescent="0.25">
      <c r="A229" s="1" t="s">
        <v>3169</v>
      </c>
      <c r="B229" s="2">
        <v>77</v>
      </c>
      <c r="C229" s="3" t="str">
        <f>"010635777"</f>
        <v>010635777</v>
      </c>
      <c r="D229" s="3" t="s">
        <v>591</v>
      </c>
      <c r="E229" s="3" t="s">
        <v>592</v>
      </c>
      <c r="F229" s="3" t="s">
        <v>593</v>
      </c>
      <c r="G229" s="3">
        <v>2035.21</v>
      </c>
    </row>
    <row r="230" spans="1:7" x14ac:dyDescent="0.25">
      <c r="A230" s="1" t="s">
        <v>3169</v>
      </c>
      <c r="B230" s="2">
        <v>77</v>
      </c>
      <c r="C230" s="3" t="str">
        <f>"010636552"</f>
        <v>010636552</v>
      </c>
      <c r="D230" s="3" t="s">
        <v>594</v>
      </c>
      <c r="E230" s="3" t="s">
        <v>595</v>
      </c>
      <c r="F230" s="3" t="s">
        <v>596</v>
      </c>
      <c r="G230" s="3">
        <v>1292.8800000000001</v>
      </c>
    </row>
    <row r="231" spans="1:7" x14ac:dyDescent="0.25">
      <c r="A231" s="1" t="s">
        <v>3169</v>
      </c>
      <c r="B231" s="2">
        <v>77</v>
      </c>
      <c r="C231" s="3" t="str">
        <f>"010637079"</f>
        <v>010637079</v>
      </c>
      <c r="D231" s="3" t="s">
        <v>597</v>
      </c>
      <c r="E231" s="3" t="s">
        <v>598</v>
      </c>
      <c r="F231" s="3" t="s">
        <v>599</v>
      </c>
      <c r="G231" s="3">
        <v>3056.3</v>
      </c>
    </row>
    <row r="232" spans="1:7" x14ac:dyDescent="0.25">
      <c r="A232" s="1" t="s">
        <v>3169</v>
      </c>
      <c r="B232" s="2">
        <v>77</v>
      </c>
      <c r="C232" s="3" t="str">
        <f>"010637559"</f>
        <v>010637559</v>
      </c>
      <c r="D232" s="3" t="s">
        <v>292</v>
      </c>
      <c r="E232" s="3"/>
      <c r="F232" s="3" t="s">
        <v>600</v>
      </c>
      <c r="G232" s="3">
        <v>321.89999999999998</v>
      </c>
    </row>
    <row r="233" spans="1:7" x14ac:dyDescent="0.25">
      <c r="A233" s="1" t="s">
        <v>3169</v>
      </c>
      <c r="B233" s="2">
        <v>77</v>
      </c>
      <c r="C233" s="3" t="str">
        <f>"010637583"</f>
        <v>010637583</v>
      </c>
      <c r="D233" s="3" t="s">
        <v>292</v>
      </c>
      <c r="E233" s="3"/>
      <c r="F233" s="3" t="s">
        <v>601</v>
      </c>
      <c r="G233" s="3">
        <v>180.96</v>
      </c>
    </row>
    <row r="234" spans="1:7" x14ac:dyDescent="0.25">
      <c r="A234" s="1" t="s">
        <v>3169</v>
      </c>
      <c r="B234" s="2">
        <v>77</v>
      </c>
      <c r="C234" s="3" t="str">
        <f>"010637591"</f>
        <v>010637591</v>
      </c>
      <c r="D234" s="3" t="s">
        <v>292</v>
      </c>
      <c r="E234" s="3"/>
      <c r="F234" s="3" t="s">
        <v>602</v>
      </c>
      <c r="G234" s="3">
        <v>454.36</v>
      </c>
    </row>
    <row r="235" spans="1:7" x14ac:dyDescent="0.25">
      <c r="A235" s="1" t="s">
        <v>3169</v>
      </c>
      <c r="B235" s="2">
        <v>77</v>
      </c>
      <c r="C235" s="3" t="str">
        <f>"010637656"</f>
        <v>010637656</v>
      </c>
      <c r="D235" s="3" t="s">
        <v>292</v>
      </c>
      <c r="E235" s="3"/>
      <c r="F235" s="3" t="s">
        <v>603</v>
      </c>
      <c r="G235" s="3">
        <v>134.86000000000001</v>
      </c>
    </row>
    <row r="236" spans="1:7" x14ac:dyDescent="0.25">
      <c r="A236" s="1" t="s">
        <v>3169</v>
      </c>
      <c r="B236" s="2">
        <v>77</v>
      </c>
      <c r="C236" s="3" t="str">
        <f>"010637672"</f>
        <v>010637672</v>
      </c>
      <c r="D236" s="3" t="s">
        <v>292</v>
      </c>
      <c r="E236" s="3"/>
      <c r="F236" s="3" t="s">
        <v>604</v>
      </c>
      <c r="G236" s="3">
        <v>64.92</v>
      </c>
    </row>
    <row r="237" spans="1:7" x14ac:dyDescent="0.25">
      <c r="A237" s="1" t="s">
        <v>3169</v>
      </c>
      <c r="B237" s="2">
        <v>77</v>
      </c>
      <c r="C237" s="3" t="str">
        <f>"010637699"</f>
        <v>010637699</v>
      </c>
      <c r="D237" s="3" t="s">
        <v>292</v>
      </c>
      <c r="E237" s="3"/>
      <c r="F237" s="3" t="s">
        <v>605</v>
      </c>
      <c r="G237" s="3">
        <v>221.84</v>
      </c>
    </row>
    <row r="238" spans="1:7" x14ac:dyDescent="0.25">
      <c r="A238" s="1" t="s">
        <v>3169</v>
      </c>
      <c r="B238" s="2">
        <v>77</v>
      </c>
      <c r="C238" s="3" t="str">
        <f>"010637834"</f>
        <v>010637834</v>
      </c>
      <c r="D238" s="3" t="s">
        <v>292</v>
      </c>
      <c r="E238" s="3"/>
      <c r="F238" s="3" t="s">
        <v>606</v>
      </c>
      <c r="G238" s="3">
        <v>264.3</v>
      </c>
    </row>
    <row r="239" spans="1:7" x14ac:dyDescent="0.25">
      <c r="A239" s="1" t="s">
        <v>3169</v>
      </c>
      <c r="B239" s="2">
        <v>77</v>
      </c>
      <c r="C239" s="3" t="str">
        <f>"010637893"</f>
        <v>010637893</v>
      </c>
      <c r="D239" s="3" t="s">
        <v>292</v>
      </c>
      <c r="E239" s="3"/>
      <c r="F239" s="3" t="s">
        <v>607</v>
      </c>
      <c r="G239" s="3">
        <v>656.82</v>
      </c>
    </row>
    <row r="240" spans="1:7" x14ac:dyDescent="0.25">
      <c r="A240" s="1" t="s">
        <v>3169</v>
      </c>
      <c r="B240" s="2">
        <v>77</v>
      </c>
      <c r="C240" s="3" t="str">
        <f>"010743022"</f>
        <v>010743022</v>
      </c>
      <c r="D240" s="3" t="s">
        <v>608</v>
      </c>
      <c r="E240" s="3" t="s">
        <v>609</v>
      </c>
      <c r="F240" s="3" t="s">
        <v>610</v>
      </c>
      <c r="G240" s="3">
        <v>5087.3599999999997</v>
      </c>
    </row>
    <row r="241" spans="1:7" x14ac:dyDescent="0.25">
      <c r="A241" s="1" t="s">
        <v>3169</v>
      </c>
      <c r="B241" s="2">
        <v>77</v>
      </c>
      <c r="C241" s="3" t="str">
        <f>"010744789"</f>
        <v>010744789</v>
      </c>
      <c r="D241" s="3" t="s">
        <v>611</v>
      </c>
      <c r="E241" s="3"/>
      <c r="F241" s="3" t="s">
        <v>612</v>
      </c>
      <c r="G241" s="3">
        <v>21.44</v>
      </c>
    </row>
    <row r="242" spans="1:7" x14ac:dyDescent="0.25">
      <c r="A242" s="1" t="s">
        <v>3169</v>
      </c>
      <c r="B242" s="2">
        <v>77</v>
      </c>
      <c r="C242" s="3" t="str">
        <f>"010744797"</f>
        <v>010744797</v>
      </c>
      <c r="D242" s="3" t="s">
        <v>613</v>
      </c>
      <c r="E242" s="3"/>
      <c r="F242" s="3" t="s">
        <v>614</v>
      </c>
      <c r="G242" s="3">
        <v>14.64</v>
      </c>
    </row>
    <row r="243" spans="1:7" x14ac:dyDescent="0.25">
      <c r="A243" s="1" t="s">
        <v>3169</v>
      </c>
      <c r="B243" s="2">
        <v>77</v>
      </c>
      <c r="C243" s="3" t="str">
        <f>"010744800"</f>
        <v>010744800</v>
      </c>
      <c r="D243" s="3" t="s">
        <v>611</v>
      </c>
      <c r="E243" s="3"/>
      <c r="F243" s="3" t="s">
        <v>615</v>
      </c>
      <c r="G243" s="3">
        <v>22.06</v>
      </c>
    </row>
    <row r="244" spans="1:7" x14ac:dyDescent="0.25">
      <c r="A244" s="1" t="s">
        <v>3169</v>
      </c>
      <c r="B244" s="2">
        <v>77</v>
      </c>
      <c r="C244" s="3" t="str">
        <f>"010744819"</f>
        <v>010744819</v>
      </c>
      <c r="D244" s="3" t="s">
        <v>613</v>
      </c>
      <c r="E244" s="3"/>
      <c r="F244" s="3" t="s">
        <v>616</v>
      </c>
      <c r="G244" s="3">
        <v>172.34</v>
      </c>
    </row>
    <row r="245" spans="1:7" x14ac:dyDescent="0.25">
      <c r="A245" s="1" t="s">
        <v>3169</v>
      </c>
      <c r="B245" s="2">
        <v>77</v>
      </c>
      <c r="C245" s="3" t="str">
        <f>"010744835"</f>
        <v>010744835</v>
      </c>
      <c r="D245" s="3" t="s">
        <v>613</v>
      </c>
      <c r="E245" s="3"/>
      <c r="F245" s="3" t="s">
        <v>617</v>
      </c>
      <c r="G245" s="3">
        <v>41.84</v>
      </c>
    </row>
    <row r="246" spans="1:7" x14ac:dyDescent="0.25">
      <c r="A246" s="1" t="s">
        <v>3169</v>
      </c>
      <c r="B246" s="2">
        <v>77</v>
      </c>
      <c r="C246" s="3" t="str">
        <f>"010744843"</f>
        <v>010744843</v>
      </c>
      <c r="D246" s="3" t="s">
        <v>538</v>
      </c>
      <c r="E246" s="3"/>
      <c r="F246" s="3" t="s">
        <v>618</v>
      </c>
      <c r="G246" s="3">
        <v>26.14</v>
      </c>
    </row>
    <row r="247" spans="1:7" x14ac:dyDescent="0.25">
      <c r="A247" s="1" t="s">
        <v>3169</v>
      </c>
      <c r="B247" s="2">
        <v>77</v>
      </c>
      <c r="C247" s="3" t="str">
        <f>"010745521"</f>
        <v>010745521</v>
      </c>
      <c r="D247" s="3" t="s">
        <v>619</v>
      </c>
      <c r="E247" s="3" t="s">
        <v>620</v>
      </c>
      <c r="F247" s="3" t="s">
        <v>621</v>
      </c>
      <c r="G247" s="3">
        <v>2558.08</v>
      </c>
    </row>
    <row r="248" spans="1:7" x14ac:dyDescent="0.25">
      <c r="A248" s="1" t="s">
        <v>3169</v>
      </c>
      <c r="B248" s="2">
        <v>77</v>
      </c>
      <c r="C248" s="3" t="str">
        <f>"010746978"</f>
        <v>010746978</v>
      </c>
      <c r="D248" s="3" t="s">
        <v>622</v>
      </c>
      <c r="E248" s="3" t="s">
        <v>623</v>
      </c>
      <c r="F248" s="3" t="s">
        <v>624</v>
      </c>
      <c r="G248" s="3">
        <v>827.68</v>
      </c>
    </row>
    <row r="249" spans="1:7" x14ac:dyDescent="0.25">
      <c r="A249" s="1" t="s">
        <v>3169</v>
      </c>
      <c r="B249" s="2">
        <v>77</v>
      </c>
      <c r="C249" s="3" t="str">
        <f>"010748040"</f>
        <v>010748040</v>
      </c>
      <c r="D249" s="3" t="s">
        <v>625</v>
      </c>
      <c r="E249" s="3" t="s">
        <v>626</v>
      </c>
      <c r="F249" s="3" t="s">
        <v>627</v>
      </c>
      <c r="G249" s="3">
        <v>12951.43</v>
      </c>
    </row>
    <row r="250" spans="1:7" x14ac:dyDescent="0.25">
      <c r="A250" s="1" t="s">
        <v>3169</v>
      </c>
      <c r="B250" s="2">
        <v>77</v>
      </c>
      <c r="C250" s="3" t="str">
        <f>"010749802"</f>
        <v>010749802</v>
      </c>
      <c r="D250" s="3" t="s">
        <v>628</v>
      </c>
      <c r="E250" s="3"/>
      <c r="F250" s="3" t="s">
        <v>629</v>
      </c>
      <c r="G250" s="3">
        <v>8.64</v>
      </c>
    </row>
    <row r="251" spans="1:7" x14ac:dyDescent="0.25">
      <c r="A251" s="1" t="s">
        <v>3169</v>
      </c>
      <c r="B251" s="2">
        <v>77</v>
      </c>
      <c r="C251" s="3" t="str">
        <f>"010749829"</f>
        <v>010749829</v>
      </c>
      <c r="D251" s="3" t="s">
        <v>630</v>
      </c>
      <c r="E251" s="3" t="s">
        <v>631</v>
      </c>
      <c r="F251" s="3" t="s">
        <v>632</v>
      </c>
      <c r="G251" s="3">
        <v>2184.54</v>
      </c>
    </row>
    <row r="252" spans="1:7" x14ac:dyDescent="0.25">
      <c r="A252" s="1" t="s">
        <v>3169</v>
      </c>
      <c r="B252" s="2">
        <v>77</v>
      </c>
      <c r="C252" s="3" t="str">
        <f>"010752331"</f>
        <v>010752331</v>
      </c>
      <c r="D252" s="3" t="s">
        <v>633</v>
      </c>
      <c r="E252" s="3" t="s">
        <v>634</v>
      </c>
      <c r="F252" s="3" t="s">
        <v>635</v>
      </c>
      <c r="G252" s="3">
        <v>2666.18</v>
      </c>
    </row>
    <row r="253" spans="1:7" x14ac:dyDescent="0.25">
      <c r="A253" s="1" t="s">
        <v>3169</v>
      </c>
      <c r="B253" s="2">
        <v>77</v>
      </c>
      <c r="C253" s="3" t="str">
        <f>"010752935"</f>
        <v>010752935</v>
      </c>
      <c r="D253" s="3" t="s">
        <v>636</v>
      </c>
      <c r="E253" s="3" t="s">
        <v>637</v>
      </c>
      <c r="F253" s="3" t="s">
        <v>638</v>
      </c>
      <c r="G253" s="3">
        <v>8043.7</v>
      </c>
    </row>
    <row r="254" spans="1:7" x14ac:dyDescent="0.25">
      <c r="A254" s="1" t="s">
        <v>3169</v>
      </c>
      <c r="B254" s="2">
        <v>77</v>
      </c>
      <c r="C254" s="3" t="str">
        <f>"010753001"</f>
        <v>010753001</v>
      </c>
      <c r="D254" s="3" t="s">
        <v>636</v>
      </c>
      <c r="E254" s="3" t="s">
        <v>639</v>
      </c>
      <c r="F254" s="3" t="s">
        <v>640</v>
      </c>
      <c r="G254" s="3">
        <v>5626.96</v>
      </c>
    </row>
    <row r="255" spans="1:7" x14ac:dyDescent="0.25">
      <c r="A255" s="1" t="s">
        <v>3169</v>
      </c>
      <c r="B255" s="2">
        <v>77</v>
      </c>
      <c r="C255" s="3" t="str">
        <f>"010756450"</f>
        <v>010756450</v>
      </c>
      <c r="D255" s="3" t="s">
        <v>641</v>
      </c>
      <c r="E255" s="3" t="s">
        <v>642</v>
      </c>
      <c r="F255" s="3" t="s">
        <v>643</v>
      </c>
      <c r="G255" s="3">
        <v>4892.24</v>
      </c>
    </row>
    <row r="256" spans="1:7" x14ac:dyDescent="0.25">
      <c r="A256" s="1" t="s">
        <v>3169</v>
      </c>
      <c r="B256" s="2">
        <v>77</v>
      </c>
      <c r="C256" s="3" t="str">
        <f>"010759522"</f>
        <v>010759522</v>
      </c>
      <c r="D256" s="3" t="s">
        <v>644</v>
      </c>
      <c r="E256" s="3" t="s">
        <v>645</v>
      </c>
      <c r="F256" s="3" t="s">
        <v>646</v>
      </c>
      <c r="G256" s="3">
        <v>2340.81</v>
      </c>
    </row>
    <row r="257" spans="1:7" x14ac:dyDescent="0.25">
      <c r="A257" s="1" t="s">
        <v>3169</v>
      </c>
      <c r="B257" s="2">
        <v>77</v>
      </c>
      <c r="C257" s="3" t="str">
        <f>"010762183"</f>
        <v>010762183</v>
      </c>
      <c r="D257" s="3" t="s">
        <v>647</v>
      </c>
      <c r="E257" s="3" t="s">
        <v>648</v>
      </c>
      <c r="F257" s="3" t="s">
        <v>649</v>
      </c>
      <c r="G257" s="3">
        <v>3807.19</v>
      </c>
    </row>
    <row r="258" spans="1:7" x14ac:dyDescent="0.25">
      <c r="A258" s="1" t="s">
        <v>3169</v>
      </c>
      <c r="B258" s="2">
        <v>77</v>
      </c>
      <c r="C258" s="3" t="str">
        <f>"010762663"</f>
        <v>010762663</v>
      </c>
      <c r="D258" s="3" t="s">
        <v>650</v>
      </c>
      <c r="E258" s="3"/>
      <c r="F258" s="3" t="s">
        <v>651</v>
      </c>
      <c r="G258" s="3">
        <v>87.63</v>
      </c>
    </row>
    <row r="259" spans="1:7" x14ac:dyDescent="0.25">
      <c r="A259" s="1" t="s">
        <v>3169</v>
      </c>
      <c r="B259" s="2">
        <v>77</v>
      </c>
      <c r="C259" s="3" t="str">
        <f>"010764046"</f>
        <v>010764046</v>
      </c>
      <c r="D259" s="3" t="s">
        <v>68</v>
      </c>
      <c r="E259" s="3" t="s">
        <v>652</v>
      </c>
      <c r="F259" s="3" t="s">
        <v>653</v>
      </c>
      <c r="G259" s="3">
        <v>7009.4</v>
      </c>
    </row>
    <row r="260" spans="1:7" x14ac:dyDescent="0.25">
      <c r="A260" s="1" t="s">
        <v>3169</v>
      </c>
      <c r="B260" s="2">
        <v>77</v>
      </c>
      <c r="C260" s="3" t="str">
        <f>"010764100"</f>
        <v>010764100</v>
      </c>
      <c r="D260" s="3" t="s">
        <v>654</v>
      </c>
      <c r="E260" s="3"/>
      <c r="F260" s="3" t="s">
        <v>655</v>
      </c>
      <c r="G260" s="3">
        <v>21.1</v>
      </c>
    </row>
    <row r="261" spans="1:7" x14ac:dyDescent="0.25">
      <c r="A261" s="1" t="s">
        <v>3169</v>
      </c>
      <c r="B261" s="2">
        <v>77</v>
      </c>
      <c r="C261" s="3" t="str">
        <f>"010764135"</f>
        <v>010764135</v>
      </c>
      <c r="D261" s="3" t="s">
        <v>656</v>
      </c>
      <c r="E261" s="3" t="s">
        <v>657</v>
      </c>
      <c r="F261" s="3" t="s">
        <v>658</v>
      </c>
      <c r="G261" s="3">
        <v>3442.18</v>
      </c>
    </row>
    <row r="262" spans="1:7" x14ac:dyDescent="0.25">
      <c r="A262" s="1" t="s">
        <v>3169</v>
      </c>
      <c r="B262" s="2">
        <v>77</v>
      </c>
      <c r="C262" s="3" t="str">
        <f>"010764437"</f>
        <v>010764437</v>
      </c>
      <c r="D262" s="3" t="s">
        <v>659</v>
      </c>
      <c r="E262" s="3"/>
      <c r="F262" s="3" t="s">
        <v>660</v>
      </c>
      <c r="G262" s="3">
        <v>76.06</v>
      </c>
    </row>
    <row r="263" spans="1:7" x14ac:dyDescent="0.25">
      <c r="A263" s="1" t="s">
        <v>3169</v>
      </c>
      <c r="B263" s="2">
        <v>77</v>
      </c>
      <c r="C263" s="3" t="str">
        <f>"010764445"</f>
        <v>010764445</v>
      </c>
      <c r="D263" s="3" t="s">
        <v>659</v>
      </c>
      <c r="E263" s="3"/>
      <c r="F263" s="3" t="s">
        <v>661</v>
      </c>
      <c r="G263" s="3">
        <v>353.5</v>
      </c>
    </row>
    <row r="264" spans="1:7" x14ac:dyDescent="0.25">
      <c r="A264" s="1" t="s">
        <v>3169</v>
      </c>
      <c r="B264" s="2">
        <v>77</v>
      </c>
      <c r="C264" s="3" t="str">
        <f>"010764860"</f>
        <v>010764860</v>
      </c>
      <c r="D264" s="3" t="s">
        <v>68</v>
      </c>
      <c r="E264" s="3" t="s">
        <v>662</v>
      </c>
      <c r="F264" s="3" t="s">
        <v>663</v>
      </c>
      <c r="G264" s="3">
        <v>6231.6</v>
      </c>
    </row>
    <row r="265" spans="1:7" x14ac:dyDescent="0.25">
      <c r="A265" s="1" t="s">
        <v>3169</v>
      </c>
      <c r="B265" s="2">
        <v>77</v>
      </c>
      <c r="C265" s="3" t="str">
        <f>"010764887"</f>
        <v>010764887</v>
      </c>
      <c r="D265" s="3" t="s">
        <v>664</v>
      </c>
      <c r="E265" s="3"/>
      <c r="F265" s="3" t="s">
        <v>665</v>
      </c>
      <c r="G265" s="3">
        <v>14.64</v>
      </c>
    </row>
    <row r="266" spans="1:7" x14ac:dyDescent="0.25">
      <c r="A266" s="1" t="s">
        <v>3169</v>
      </c>
      <c r="B266" s="2">
        <v>77</v>
      </c>
      <c r="C266" s="3" t="str">
        <f>"010767843"</f>
        <v>010767843</v>
      </c>
      <c r="D266" s="3" t="s">
        <v>666</v>
      </c>
      <c r="E266" s="3" t="s">
        <v>667</v>
      </c>
      <c r="F266" s="3" t="s">
        <v>668</v>
      </c>
      <c r="G266" s="3">
        <v>2084.79</v>
      </c>
    </row>
    <row r="267" spans="1:7" x14ac:dyDescent="0.25">
      <c r="A267" s="1" t="s">
        <v>3169</v>
      </c>
      <c r="B267" s="2">
        <v>77</v>
      </c>
      <c r="C267" s="3" t="str">
        <f>"010768033"</f>
        <v>010768033</v>
      </c>
      <c r="D267" s="3" t="s">
        <v>669</v>
      </c>
      <c r="E267" s="3" t="s">
        <v>670</v>
      </c>
      <c r="F267" s="3" t="s">
        <v>671</v>
      </c>
      <c r="G267" s="3">
        <v>1846.19</v>
      </c>
    </row>
    <row r="268" spans="1:7" x14ac:dyDescent="0.25">
      <c r="A268" s="1" t="s">
        <v>3169</v>
      </c>
      <c r="B268" s="2">
        <v>77</v>
      </c>
      <c r="C268" s="3" t="str">
        <f>"010769218"</f>
        <v>010769218</v>
      </c>
      <c r="D268" s="3" t="s">
        <v>672</v>
      </c>
      <c r="E268" s="3" t="s">
        <v>673</v>
      </c>
      <c r="F268" s="3" t="s">
        <v>674</v>
      </c>
      <c r="G268" s="3">
        <v>2286.87</v>
      </c>
    </row>
    <row r="269" spans="1:7" x14ac:dyDescent="0.25">
      <c r="A269" s="1" t="s">
        <v>3169</v>
      </c>
      <c r="B269" s="2">
        <v>77</v>
      </c>
      <c r="C269" s="3" t="str">
        <f>"010769293"</f>
        <v>010769293</v>
      </c>
      <c r="D269" s="3" t="s">
        <v>7</v>
      </c>
      <c r="E269" s="3" t="s">
        <v>675</v>
      </c>
      <c r="F269" s="3" t="s">
        <v>676</v>
      </c>
      <c r="G269" s="3">
        <v>1795.74</v>
      </c>
    </row>
    <row r="270" spans="1:7" x14ac:dyDescent="0.25">
      <c r="A270" s="1" t="s">
        <v>3169</v>
      </c>
      <c r="B270" s="2">
        <v>77</v>
      </c>
      <c r="C270" s="3" t="str">
        <f>"010791914"</f>
        <v>010791914</v>
      </c>
      <c r="D270" s="3" t="s">
        <v>677</v>
      </c>
      <c r="E270" s="3" t="s">
        <v>678</v>
      </c>
      <c r="F270" s="3" t="s">
        <v>679</v>
      </c>
      <c r="G270" s="3">
        <v>3376.96</v>
      </c>
    </row>
    <row r="271" spans="1:7" x14ac:dyDescent="0.25">
      <c r="A271" s="1" t="s">
        <v>3169</v>
      </c>
      <c r="B271" s="2">
        <v>77</v>
      </c>
      <c r="C271" s="3" t="str">
        <f>"010840958"</f>
        <v>010840958</v>
      </c>
      <c r="D271" s="3" t="s">
        <v>680</v>
      </c>
      <c r="E271" s="3" t="s">
        <v>681</v>
      </c>
      <c r="F271" s="3" t="s">
        <v>682</v>
      </c>
      <c r="G271" s="3">
        <v>3462.64</v>
      </c>
    </row>
    <row r="272" spans="1:7" x14ac:dyDescent="0.25">
      <c r="A272" s="1" t="s">
        <v>3169</v>
      </c>
      <c r="B272" s="2">
        <v>77</v>
      </c>
      <c r="C272" s="3" t="str">
        <f>"010896082"</f>
        <v>010896082</v>
      </c>
      <c r="D272" s="3" t="s">
        <v>683</v>
      </c>
      <c r="E272" s="3" t="s">
        <v>684</v>
      </c>
      <c r="F272" s="3" t="s">
        <v>685</v>
      </c>
      <c r="G272" s="3">
        <v>3936.64</v>
      </c>
    </row>
    <row r="273" spans="1:7" x14ac:dyDescent="0.25">
      <c r="A273" s="1" t="s">
        <v>3169</v>
      </c>
      <c r="B273" s="2">
        <v>77</v>
      </c>
      <c r="C273" s="3" t="str">
        <f>"010915680"</f>
        <v>010915680</v>
      </c>
      <c r="D273" s="3" t="s">
        <v>686</v>
      </c>
      <c r="E273" s="3" t="s">
        <v>687</v>
      </c>
      <c r="F273" s="3" t="s">
        <v>688</v>
      </c>
      <c r="G273" s="3">
        <v>4444.6499999999996</v>
      </c>
    </row>
    <row r="274" spans="1:7" x14ac:dyDescent="0.25">
      <c r="A274" s="1" t="s">
        <v>3169</v>
      </c>
      <c r="B274" s="2">
        <v>77</v>
      </c>
      <c r="C274" s="3" t="str">
        <f>"010921060"</f>
        <v>010921060</v>
      </c>
      <c r="D274" s="3" t="s">
        <v>689</v>
      </c>
      <c r="E274" s="3" t="s">
        <v>690</v>
      </c>
      <c r="F274" s="3" t="s">
        <v>691</v>
      </c>
      <c r="G274" s="3">
        <v>1703.15</v>
      </c>
    </row>
    <row r="275" spans="1:7" x14ac:dyDescent="0.25">
      <c r="A275" s="1" t="s">
        <v>3169</v>
      </c>
      <c r="B275" s="2">
        <v>77</v>
      </c>
      <c r="C275" s="3" t="str">
        <f>"010921842"</f>
        <v>010921842</v>
      </c>
      <c r="D275" s="3" t="s">
        <v>692</v>
      </c>
      <c r="E275" s="3" t="s">
        <v>693</v>
      </c>
      <c r="F275" s="3" t="s">
        <v>694</v>
      </c>
      <c r="G275" s="3">
        <v>2381.3000000000002</v>
      </c>
    </row>
    <row r="276" spans="1:7" x14ac:dyDescent="0.25">
      <c r="A276" s="1" t="s">
        <v>3169</v>
      </c>
      <c r="B276" s="2">
        <v>77</v>
      </c>
      <c r="C276" s="3" t="str">
        <f>"010930671"</f>
        <v>010930671</v>
      </c>
      <c r="D276" s="3" t="s">
        <v>213</v>
      </c>
      <c r="E276" s="3"/>
      <c r="F276" s="3" t="s">
        <v>695</v>
      </c>
      <c r="G276" s="3">
        <v>105.58</v>
      </c>
    </row>
    <row r="277" spans="1:7" x14ac:dyDescent="0.25">
      <c r="A277" s="1" t="s">
        <v>3169</v>
      </c>
      <c r="B277" s="2">
        <v>77</v>
      </c>
      <c r="C277" s="3" t="str">
        <f>"010931260"</f>
        <v>010931260</v>
      </c>
      <c r="D277" s="3" t="s">
        <v>696</v>
      </c>
      <c r="E277" s="3" t="s">
        <v>697</v>
      </c>
      <c r="F277" s="3" t="s">
        <v>698</v>
      </c>
      <c r="G277" s="3">
        <v>3781.94</v>
      </c>
    </row>
    <row r="278" spans="1:7" x14ac:dyDescent="0.25">
      <c r="A278" s="1" t="s">
        <v>3169</v>
      </c>
      <c r="B278" s="2">
        <v>77</v>
      </c>
      <c r="C278" s="3" t="str">
        <f>"010932712"</f>
        <v>010932712</v>
      </c>
      <c r="D278" s="3" t="s">
        <v>699</v>
      </c>
      <c r="E278" s="3" t="s">
        <v>700</v>
      </c>
      <c r="F278" s="3" t="s">
        <v>701</v>
      </c>
      <c r="G278" s="3">
        <v>2986.06</v>
      </c>
    </row>
    <row r="279" spans="1:7" x14ac:dyDescent="0.25">
      <c r="A279" s="1" t="s">
        <v>3169</v>
      </c>
      <c r="B279" s="2">
        <v>77</v>
      </c>
      <c r="C279" s="3" t="str">
        <f>"010932887"</f>
        <v>010932887</v>
      </c>
      <c r="D279" s="3" t="s">
        <v>213</v>
      </c>
      <c r="E279" s="3"/>
      <c r="F279" s="3" t="s">
        <v>702</v>
      </c>
      <c r="G279" s="3">
        <v>506.78</v>
      </c>
    </row>
    <row r="280" spans="1:7" x14ac:dyDescent="0.25">
      <c r="A280" s="1" t="s">
        <v>3169</v>
      </c>
      <c r="B280" s="2">
        <v>77</v>
      </c>
      <c r="C280" s="3" t="str">
        <f>"010933522"</f>
        <v>010933522</v>
      </c>
      <c r="D280" s="3" t="s">
        <v>703</v>
      </c>
      <c r="E280" s="3"/>
      <c r="F280" s="3" t="s">
        <v>704</v>
      </c>
      <c r="G280" s="3">
        <v>21.1</v>
      </c>
    </row>
    <row r="281" spans="1:7" x14ac:dyDescent="0.25">
      <c r="A281" s="1" t="s">
        <v>3169</v>
      </c>
      <c r="B281" s="2">
        <v>77</v>
      </c>
      <c r="C281" s="3" t="str">
        <f>"010933530"</f>
        <v>010933530</v>
      </c>
      <c r="D281" s="3" t="s">
        <v>703</v>
      </c>
      <c r="E281" s="3"/>
      <c r="F281" s="3" t="s">
        <v>705</v>
      </c>
      <c r="G281" s="3">
        <v>21.1</v>
      </c>
    </row>
    <row r="282" spans="1:7" x14ac:dyDescent="0.25">
      <c r="A282" s="1" t="s">
        <v>3169</v>
      </c>
      <c r="B282" s="2">
        <v>77</v>
      </c>
      <c r="C282" s="3" t="str">
        <f>"010934928"</f>
        <v>010934928</v>
      </c>
      <c r="D282" s="3" t="s">
        <v>706</v>
      </c>
      <c r="E282" s="3"/>
      <c r="F282" s="3" t="s">
        <v>707</v>
      </c>
      <c r="G282" s="3">
        <v>739.04</v>
      </c>
    </row>
    <row r="283" spans="1:7" x14ac:dyDescent="0.25">
      <c r="A283" s="1" t="s">
        <v>3169</v>
      </c>
      <c r="B283" s="2">
        <v>77</v>
      </c>
      <c r="C283" s="3" t="str">
        <f>"010947140"</f>
        <v>010947140</v>
      </c>
      <c r="D283" s="3" t="s">
        <v>708</v>
      </c>
      <c r="E283" s="3" t="s">
        <v>709</v>
      </c>
      <c r="F283" s="3" t="s">
        <v>710</v>
      </c>
      <c r="G283" s="3">
        <v>2503.73</v>
      </c>
    </row>
    <row r="284" spans="1:7" x14ac:dyDescent="0.25">
      <c r="A284" s="1" t="s">
        <v>3169</v>
      </c>
      <c r="B284" s="2">
        <v>77</v>
      </c>
      <c r="C284" s="3" t="str">
        <f>"010948198"</f>
        <v>010948198</v>
      </c>
      <c r="D284" s="3" t="s">
        <v>711</v>
      </c>
      <c r="E284" s="3" t="s">
        <v>712</v>
      </c>
      <c r="F284" s="3" t="s">
        <v>713</v>
      </c>
      <c r="G284" s="3">
        <v>2207.56</v>
      </c>
    </row>
    <row r="285" spans="1:7" x14ac:dyDescent="0.25">
      <c r="A285" s="1" t="s">
        <v>3169</v>
      </c>
      <c r="B285" s="2">
        <v>77</v>
      </c>
      <c r="C285" s="3" t="str">
        <f>"010952780"</f>
        <v>010952780</v>
      </c>
      <c r="D285" s="3" t="s">
        <v>714</v>
      </c>
      <c r="E285" s="3" t="s">
        <v>715</v>
      </c>
      <c r="F285" s="3" t="s">
        <v>716</v>
      </c>
      <c r="G285" s="3">
        <v>2569.88</v>
      </c>
    </row>
    <row r="286" spans="1:7" x14ac:dyDescent="0.25">
      <c r="A286" s="1" t="s">
        <v>3169</v>
      </c>
      <c r="B286" s="2">
        <v>77</v>
      </c>
      <c r="C286" s="3" t="str">
        <f>"010953930"</f>
        <v>010953930</v>
      </c>
      <c r="D286" s="3" t="s">
        <v>717</v>
      </c>
      <c r="E286" s="3"/>
      <c r="F286" s="3" t="s">
        <v>718</v>
      </c>
      <c r="G286" s="3">
        <v>485.66</v>
      </c>
    </row>
    <row r="287" spans="1:7" x14ac:dyDescent="0.25">
      <c r="A287" s="1" t="s">
        <v>3169</v>
      </c>
      <c r="B287" s="2">
        <v>77</v>
      </c>
      <c r="C287" s="3" t="str">
        <f>"010954902"</f>
        <v>010954902</v>
      </c>
      <c r="D287" s="3" t="s">
        <v>7</v>
      </c>
      <c r="E287" s="3" t="s">
        <v>719</v>
      </c>
      <c r="F287" s="3" t="s">
        <v>720</v>
      </c>
      <c r="G287" s="3">
        <v>3937.2</v>
      </c>
    </row>
    <row r="288" spans="1:7" x14ac:dyDescent="0.25">
      <c r="A288" s="1" t="s">
        <v>3169</v>
      </c>
      <c r="B288" s="2">
        <v>77</v>
      </c>
      <c r="C288" s="3" t="str">
        <f>"010955224"</f>
        <v>010955224</v>
      </c>
      <c r="D288" s="3" t="s">
        <v>7</v>
      </c>
      <c r="E288" s="3" t="s">
        <v>721</v>
      </c>
      <c r="F288" s="3" t="s">
        <v>722</v>
      </c>
      <c r="G288" s="3">
        <v>4075.84</v>
      </c>
    </row>
    <row r="289" spans="1:7" x14ac:dyDescent="0.25">
      <c r="A289" s="1" t="s">
        <v>3169</v>
      </c>
      <c r="B289" s="2">
        <v>77</v>
      </c>
      <c r="C289" s="3" t="str">
        <f>"010960244"</f>
        <v>010960244</v>
      </c>
      <c r="D289" s="3" t="s">
        <v>723</v>
      </c>
      <c r="E289" s="3" t="s">
        <v>724</v>
      </c>
      <c r="F289" s="3" t="s">
        <v>725</v>
      </c>
      <c r="G289" s="3">
        <v>1926.9</v>
      </c>
    </row>
    <row r="290" spans="1:7" x14ac:dyDescent="0.25">
      <c r="A290" s="1" t="s">
        <v>3169</v>
      </c>
      <c r="B290" s="2">
        <v>77</v>
      </c>
      <c r="C290" s="3" t="str">
        <f>"010960716"</f>
        <v>010960716</v>
      </c>
      <c r="D290" s="3" t="s">
        <v>726</v>
      </c>
      <c r="E290" s="3" t="s">
        <v>727</v>
      </c>
      <c r="F290" s="3" t="s">
        <v>728</v>
      </c>
      <c r="G290" s="3">
        <v>4667.78</v>
      </c>
    </row>
    <row r="291" spans="1:7" x14ac:dyDescent="0.25">
      <c r="A291" s="1" t="s">
        <v>3169</v>
      </c>
      <c r="B291" s="2">
        <v>77</v>
      </c>
      <c r="C291" s="3" t="str">
        <f>"010964134"</f>
        <v>010964134</v>
      </c>
      <c r="D291" s="3" t="s">
        <v>729</v>
      </c>
      <c r="E291" s="3" t="s">
        <v>730</v>
      </c>
      <c r="F291" s="3" t="s">
        <v>731</v>
      </c>
      <c r="G291" s="3">
        <v>1925.06</v>
      </c>
    </row>
    <row r="292" spans="1:7" x14ac:dyDescent="0.25">
      <c r="A292" s="1" t="s">
        <v>3169</v>
      </c>
      <c r="B292" s="2">
        <v>77</v>
      </c>
      <c r="C292" s="3" t="str">
        <f>"010964150"</f>
        <v>010964150</v>
      </c>
      <c r="D292" s="3" t="s">
        <v>711</v>
      </c>
      <c r="E292" s="3" t="s">
        <v>732</v>
      </c>
      <c r="F292" s="3" t="s">
        <v>733</v>
      </c>
      <c r="G292" s="3">
        <v>3730.88</v>
      </c>
    </row>
    <row r="293" spans="1:7" x14ac:dyDescent="0.25">
      <c r="A293" s="1" t="s">
        <v>3169</v>
      </c>
      <c r="B293" s="2">
        <v>77</v>
      </c>
      <c r="C293" s="3" t="str">
        <f>"010964630"</f>
        <v>010964630</v>
      </c>
      <c r="D293" s="3" t="s">
        <v>734</v>
      </c>
      <c r="E293" s="3" t="s">
        <v>735</v>
      </c>
      <c r="F293" s="3" t="s">
        <v>736</v>
      </c>
      <c r="G293" s="3">
        <v>3893.86</v>
      </c>
    </row>
    <row r="294" spans="1:7" x14ac:dyDescent="0.25">
      <c r="A294" s="1" t="s">
        <v>3169</v>
      </c>
      <c r="B294" s="2">
        <v>77</v>
      </c>
      <c r="C294" s="3" t="str">
        <f>"010964789"</f>
        <v>010964789</v>
      </c>
      <c r="D294" s="3" t="s">
        <v>711</v>
      </c>
      <c r="E294" s="3" t="s">
        <v>737</v>
      </c>
      <c r="F294" s="3" t="s">
        <v>738</v>
      </c>
      <c r="G294" s="3">
        <v>3581.82</v>
      </c>
    </row>
    <row r="295" spans="1:7" x14ac:dyDescent="0.25">
      <c r="A295" s="1" t="s">
        <v>3169</v>
      </c>
      <c r="B295" s="2">
        <v>77</v>
      </c>
      <c r="C295" s="3" t="str">
        <f>"010969217"</f>
        <v>010969217</v>
      </c>
      <c r="D295" s="3" t="s">
        <v>739</v>
      </c>
      <c r="E295" s="3" t="s">
        <v>740</v>
      </c>
      <c r="F295" s="3" t="s">
        <v>741</v>
      </c>
      <c r="G295" s="3">
        <v>1487.46</v>
      </c>
    </row>
    <row r="296" spans="1:7" x14ac:dyDescent="0.25">
      <c r="A296" s="1" t="s">
        <v>3169</v>
      </c>
      <c r="B296" s="2">
        <v>77</v>
      </c>
      <c r="C296" s="3" t="str">
        <f>"010969322"</f>
        <v>010969322</v>
      </c>
      <c r="D296" s="3" t="s">
        <v>742</v>
      </c>
      <c r="E296" s="3" t="s">
        <v>743</v>
      </c>
      <c r="F296" s="3" t="s">
        <v>744</v>
      </c>
      <c r="G296" s="3">
        <v>604.41999999999996</v>
      </c>
    </row>
    <row r="297" spans="1:7" x14ac:dyDescent="0.25">
      <c r="A297" s="1" t="s">
        <v>3169</v>
      </c>
      <c r="B297" s="2">
        <v>77</v>
      </c>
      <c r="C297" s="3" t="str">
        <f>"010969845"</f>
        <v>010969845</v>
      </c>
      <c r="D297" s="3" t="s">
        <v>745</v>
      </c>
      <c r="E297" s="3" t="s">
        <v>746</v>
      </c>
      <c r="F297" s="3" t="s">
        <v>747</v>
      </c>
      <c r="G297" s="3">
        <v>3317.08</v>
      </c>
    </row>
    <row r="298" spans="1:7" x14ac:dyDescent="0.25">
      <c r="A298" s="1" t="s">
        <v>3169</v>
      </c>
      <c r="B298" s="2">
        <v>77</v>
      </c>
      <c r="C298" s="3" t="str">
        <f>"010970851"</f>
        <v>010970851</v>
      </c>
      <c r="D298" s="3" t="s">
        <v>748</v>
      </c>
      <c r="E298" s="3" t="s">
        <v>749</v>
      </c>
      <c r="F298" s="3" t="s">
        <v>750</v>
      </c>
      <c r="G298" s="3">
        <v>1548.53</v>
      </c>
    </row>
    <row r="299" spans="1:7" x14ac:dyDescent="0.25">
      <c r="A299" s="1" t="s">
        <v>3169</v>
      </c>
      <c r="B299" s="2">
        <v>77</v>
      </c>
      <c r="C299" s="3" t="str">
        <f>"010972498"</f>
        <v>010972498</v>
      </c>
      <c r="D299" s="3" t="s">
        <v>751</v>
      </c>
      <c r="E299" s="3" t="s">
        <v>752</v>
      </c>
      <c r="F299" s="3" t="s">
        <v>753</v>
      </c>
      <c r="G299" s="3">
        <v>4274.58</v>
      </c>
    </row>
    <row r="300" spans="1:7" x14ac:dyDescent="0.25">
      <c r="A300" s="1" t="s">
        <v>3169</v>
      </c>
      <c r="B300" s="2">
        <v>77</v>
      </c>
      <c r="C300" s="3" t="str">
        <f>"010973044"</f>
        <v>010973044</v>
      </c>
      <c r="D300" s="3" t="s">
        <v>754</v>
      </c>
      <c r="E300" s="3"/>
      <c r="F300" s="3" t="s">
        <v>755</v>
      </c>
      <c r="G300" s="3">
        <v>8.4600000000000009</v>
      </c>
    </row>
    <row r="301" spans="1:7" x14ac:dyDescent="0.25">
      <c r="A301" s="1" t="s">
        <v>3169</v>
      </c>
      <c r="B301" s="2">
        <v>77</v>
      </c>
      <c r="C301" s="3" t="str">
        <f>"010973575"</f>
        <v>010973575</v>
      </c>
      <c r="D301" s="3" t="s">
        <v>756</v>
      </c>
      <c r="E301" s="3" t="s">
        <v>757</v>
      </c>
      <c r="F301" s="3" t="s">
        <v>758</v>
      </c>
      <c r="G301" s="3">
        <v>5095.38</v>
      </c>
    </row>
    <row r="302" spans="1:7" x14ac:dyDescent="0.25">
      <c r="A302" s="1" t="s">
        <v>3169</v>
      </c>
      <c r="B302" s="2">
        <v>77</v>
      </c>
      <c r="C302" s="3" t="str">
        <f>"010974377"</f>
        <v>010974377</v>
      </c>
      <c r="D302" s="3" t="s">
        <v>759</v>
      </c>
      <c r="E302" s="3"/>
      <c r="F302" s="3" t="s">
        <v>760</v>
      </c>
      <c r="G302" s="3">
        <v>16.88</v>
      </c>
    </row>
    <row r="303" spans="1:7" x14ac:dyDescent="0.25">
      <c r="A303" s="1" t="s">
        <v>3169</v>
      </c>
      <c r="B303" s="2">
        <v>77</v>
      </c>
      <c r="C303" s="3" t="str">
        <f>"010974865"</f>
        <v>010974865</v>
      </c>
      <c r="D303" s="3" t="s">
        <v>761</v>
      </c>
      <c r="E303" s="3"/>
      <c r="F303" s="3" t="s">
        <v>762</v>
      </c>
      <c r="G303" s="3">
        <v>6.84</v>
      </c>
    </row>
    <row r="304" spans="1:7" x14ac:dyDescent="0.25">
      <c r="A304" s="1" t="s">
        <v>3169</v>
      </c>
      <c r="B304" s="2">
        <v>77</v>
      </c>
      <c r="C304" s="3" t="str">
        <f>"010974873"</f>
        <v>010974873</v>
      </c>
      <c r="D304" s="3" t="s">
        <v>761</v>
      </c>
      <c r="E304" s="3"/>
      <c r="F304" s="3" t="s">
        <v>763</v>
      </c>
      <c r="G304" s="3">
        <v>23.64</v>
      </c>
    </row>
    <row r="305" spans="1:7" x14ac:dyDescent="0.25">
      <c r="A305" s="1" t="s">
        <v>3169</v>
      </c>
      <c r="B305" s="2">
        <v>77</v>
      </c>
      <c r="C305" s="3" t="str">
        <f>"010974881"</f>
        <v>010974881</v>
      </c>
      <c r="D305" s="3" t="s">
        <v>761</v>
      </c>
      <c r="E305" s="3"/>
      <c r="F305" s="3" t="s">
        <v>764</v>
      </c>
      <c r="G305" s="3">
        <v>2.56</v>
      </c>
    </row>
    <row r="306" spans="1:7" x14ac:dyDescent="0.25">
      <c r="A306" s="1" t="s">
        <v>3169</v>
      </c>
      <c r="B306" s="2">
        <v>77</v>
      </c>
      <c r="C306" s="3" t="str">
        <f>"010976183"</f>
        <v>010976183</v>
      </c>
      <c r="D306" s="3" t="s">
        <v>7</v>
      </c>
      <c r="E306" s="3" t="s">
        <v>765</v>
      </c>
      <c r="F306" s="3" t="s">
        <v>766</v>
      </c>
      <c r="G306" s="3">
        <v>2686.46</v>
      </c>
    </row>
    <row r="307" spans="1:7" x14ac:dyDescent="0.25">
      <c r="A307" s="1" t="s">
        <v>3169</v>
      </c>
      <c r="B307" s="2">
        <v>77</v>
      </c>
      <c r="C307" s="3" t="str">
        <f>"010976442"</f>
        <v>010976442</v>
      </c>
      <c r="D307" s="3" t="s">
        <v>767</v>
      </c>
      <c r="E307" s="3" t="s">
        <v>768</v>
      </c>
      <c r="F307" s="3" t="s">
        <v>769</v>
      </c>
      <c r="G307" s="3">
        <v>2219.46</v>
      </c>
    </row>
    <row r="308" spans="1:7" x14ac:dyDescent="0.25">
      <c r="A308" s="1" t="s">
        <v>3169</v>
      </c>
      <c r="B308" s="2">
        <v>77</v>
      </c>
      <c r="C308" s="3" t="str">
        <f>"010977082"</f>
        <v>010977082</v>
      </c>
      <c r="D308" s="3" t="s">
        <v>770</v>
      </c>
      <c r="E308" s="3"/>
      <c r="F308" s="3" t="s">
        <v>771</v>
      </c>
      <c r="G308" s="3">
        <v>2.1</v>
      </c>
    </row>
    <row r="309" spans="1:7" x14ac:dyDescent="0.25">
      <c r="A309" s="1" t="s">
        <v>3169</v>
      </c>
      <c r="B309" s="2">
        <v>77</v>
      </c>
      <c r="C309" s="3" t="str">
        <f>"010978623"</f>
        <v>010978623</v>
      </c>
      <c r="D309" s="3" t="s">
        <v>772</v>
      </c>
      <c r="E309" s="3" t="s">
        <v>773</v>
      </c>
      <c r="F309" s="3" t="s">
        <v>774</v>
      </c>
      <c r="G309" s="3">
        <v>3745.44</v>
      </c>
    </row>
    <row r="310" spans="1:7" x14ac:dyDescent="0.25">
      <c r="A310" s="1" t="s">
        <v>3169</v>
      </c>
      <c r="B310" s="2">
        <v>77</v>
      </c>
      <c r="C310" s="3" t="str">
        <f>"010981055"</f>
        <v>010981055</v>
      </c>
      <c r="D310" s="3" t="s">
        <v>775</v>
      </c>
      <c r="E310" s="3" t="s">
        <v>776</v>
      </c>
      <c r="F310" s="3" t="s">
        <v>777</v>
      </c>
      <c r="G310" s="3">
        <v>3961.96</v>
      </c>
    </row>
    <row r="311" spans="1:7" x14ac:dyDescent="0.25">
      <c r="A311" s="1" t="s">
        <v>3169</v>
      </c>
      <c r="B311" s="2">
        <v>77</v>
      </c>
      <c r="C311" s="3" t="str">
        <f>"010982051"</f>
        <v>010982051</v>
      </c>
      <c r="D311" s="3" t="s">
        <v>778</v>
      </c>
      <c r="E311" s="3"/>
      <c r="F311" s="3" t="s">
        <v>779</v>
      </c>
      <c r="G311" s="3">
        <v>6.32</v>
      </c>
    </row>
    <row r="312" spans="1:7" x14ac:dyDescent="0.25">
      <c r="A312" s="1" t="s">
        <v>3169</v>
      </c>
      <c r="B312" s="2">
        <v>77</v>
      </c>
      <c r="C312" s="3" t="str">
        <f>"010982108"</f>
        <v>010982108</v>
      </c>
      <c r="D312" s="3" t="s">
        <v>780</v>
      </c>
      <c r="E312" s="3"/>
      <c r="F312" s="3" t="s">
        <v>781</v>
      </c>
      <c r="G312" s="3">
        <v>6013.13</v>
      </c>
    </row>
    <row r="313" spans="1:7" x14ac:dyDescent="0.25">
      <c r="A313" s="1" t="s">
        <v>3169</v>
      </c>
      <c r="B313" s="2">
        <v>77</v>
      </c>
      <c r="C313" s="3" t="str">
        <f>"011012293"</f>
        <v>011012293</v>
      </c>
      <c r="D313" s="3" t="s">
        <v>782</v>
      </c>
      <c r="E313" s="3" t="s">
        <v>783</v>
      </c>
      <c r="F313" s="3" t="s">
        <v>784</v>
      </c>
      <c r="G313" s="3">
        <v>5874.88</v>
      </c>
    </row>
    <row r="314" spans="1:7" x14ac:dyDescent="0.25">
      <c r="A314" s="1" t="s">
        <v>3169</v>
      </c>
      <c r="B314" s="2">
        <v>77</v>
      </c>
      <c r="C314" s="3" t="str">
        <f>"011012307"</f>
        <v>011012307</v>
      </c>
      <c r="D314" s="3" t="s">
        <v>782</v>
      </c>
      <c r="E314" s="3"/>
      <c r="F314" s="3" t="s">
        <v>785</v>
      </c>
      <c r="G314" s="3">
        <v>778.34</v>
      </c>
    </row>
    <row r="315" spans="1:7" x14ac:dyDescent="0.25">
      <c r="A315" s="1" t="s">
        <v>3169</v>
      </c>
      <c r="B315" s="2">
        <v>77</v>
      </c>
      <c r="C315" s="3" t="str">
        <f>"011013052"</f>
        <v>011013052</v>
      </c>
      <c r="D315" s="3" t="s">
        <v>786</v>
      </c>
      <c r="E315" s="3" t="s">
        <v>787</v>
      </c>
      <c r="F315" s="3" t="s">
        <v>788</v>
      </c>
      <c r="G315" s="3">
        <v>2916.92</v>
      </c>
    </row>
    <row r="316" spans="1:7" x14ac:dyDescent="0.25">
      <c r="A316" s="1" t="s">
        <v>3169</v>
      </c>
      <c r="B316" s="2">
        <v>77</v>
      </c>
      <c r="C316" s="3" t="str">
        <f>"011016698"</f>
        <v>011016698</v>
      </c>
      <c r="D316" s="3" t="s">
        <v>306</v>
      </c>
      <c r="E316" s="3"/>
      <c r="F316" s="3" t="s">
        <v>789</v>
      </c>
      <c r="G316" s="3">
        <v>107.94</v>
      </c>
    </row>
    <row r="317" spans="1:7" x14ac:dyDescent="0.25">
      <c r="A317" s="1" t="s">
        <v>3169</v>
      </c>
      <c r="B317" s="2">
        <v>77</v>
      </c>
      <c r="C317" s="3" t="str">
        <f>"011016701"</f>
        <v>011016701</v>
      </c>
      <c r="D317" s="3" t="s">
        <v>325</v>
      </c>
      <c r="E317" s="3"/>
      <c r="F317" s="3" t="s">
        <v>790</v>
      </c>
      <c r="G317" s="3">
        <v>90.63</v>
      </c>
    </row>
    <row r="318" spans="1:7" x14ac:dyDescent="0.25">
      <c r="A318" s="1" t="s">
        <v>3169</v>
      </c>
      <c r="B318" s="2">
        <v>77</v>
      </c>
      <c r="C318" s="3" t="str">
        <f>"011017333"</f>
        <v>011017333</v>
      </c>
      <c r="D318" s="3" t="s">
        <v>791</v>
      </c>
      <c r="E318" s="3"/>
      <c r="F318" s="3" t="s">
        <v>792</v>
      </c>
      <c r="G318" s="3">
        <v>2.14</v>
      </c>
    </row>
    <row r="319" spans="1:7" x14ac:dyDescent="0.25">
      <c r="A319" s="1" t="s">
        <v>3169</v>
      </c>
      <c r="B319" s="2">
        <v>77</v>
      </c>
      <c r="C319" s="3" t="str">
        <f>"011036443"</f>
        <v>011036443</v>
      </c>
      <c r="D319" s="3" t="s">
        <v>793</v>
      </c>
      <c r="E319" s="3" t="s">
        <v>794</v>
      </c>
      <c r="F319" s="3" t="s">
        <v>795</v>
      </c>
      <c r="G319" s="3">
        <v>2466.21</v>
      </c>
    </row>
    <row r="320" spans="1:7" x14ac:dyDescent="0.25">
      <c r="A320" s="1" t="s">
        <v>3169</v>
      </c>
      <c r="B320" s="2">
        <v>77</v>
      </c>
      <c r="C320" s="3" t="str">
        <f>"011039140"</f>
        <v>011039140</v>
      </c>
      <c r="D320" s="3" t="s">
        <v>796</v>
      </c>
      <c r="E320" s="3"/>
      <c r="F320" s="3" t="s">
        <v>797</v>
      </c>
      <c r="G320" s="3">
        <v>148.63999999999999</v>
      </c>
    </row>
    <row r="321" spans="1:7" x14ac:dyDescent="0.25">
      <c r="A321" s="1" t="s">
        <v>3169</v>
      </c>
      <c r="B321" s="2">
        <v>77</v>
      </c>
      <c r="C321" s="3" t="str">
        <f>"011039310"</f>
        <v>011039310</v>
      </c>
      <c r="D321" s="3" t="s">
        <v>280</v>
      </c>
      <c r="E321" s="3" t="s">
        <v>798</v>
      </c>
      <c r="F321" s="3" t="s">
        <v>799</v>
      </c>
      <c r="G321" s="3">
        <v>31481.88</v>
      </c>
    </row>
    <row r="322" spans="1:7" x14ac:dyDescent="0.25">
      <c r="A322" s="1" t="s">
        <v>3169</v>
      </c>
      <c r="B322" s="2">
        <v>77</v>
      </c>
      <c r="C322" s="3" t="str">
        <f>"011040335"</f>
        <v>011040335</v>
      </c>
      <c r="D322" s="3" t="s">
        <v>706</v>
      </c>
      <c r="E322" s="3"/>
      <c r="F322" s="3" t="s">
        <v>800</v>
      </c>
      <c r="G322" s="3">
        <v>1527.44</v>
      </c>
    </row>
    <row r="323" spans="1:7" x14ac:dyDescent="0.25">
      <c r="A323" s="1" t="s">
        <v>3169</v>
      </c>
      <c r="B323" s="2">
        <v>77</v>
      </c>
      <c r="C323" s="3" t="str">
        <f>"011040483"</f>
        <v>011040483</v>
      </c>
      <c r="D323" s="3" t="s">
        <v>292</v>
      </c>
      <c r="E323" s="3"/>
      <c r="F323" s="3" t="s">
        <v>801</v>
      </c>
      <c r="G323" s="3">
        <v>47267.9</v>
      </c>
    </row>
    <row r="324" spans="1:7" x14ac:dyDescent="0.25">
      <c r="A324" s="1" t="s">
        <v>3169</v>
      </c>
      <c r="B324" s="2">
        <v>77</v>
      </c>
      <c r="C324" s="3" t="str">
        <f>"011045469"</f>
        <v>011045469</v>
      </c>
      <c r="D324" s="3" t="s">
        <v>802</v>
      </c>
      <c r="E324" s="3" t="s">
        <v>803</v>
      </c>
      <c r="F324" s="3" t="s">
        <v>804</v>
      </c>
      <c r="G324" s="3">
        <v>3031.98</v>
      </c>
    </row>
    <row r="325" spans="1:7" x14ac:dyDescent="0.25">
      <c r="A325" s="1" t="s">
        <v>3169</v>
      </c>
      <c r="B325" s="2">
        <v>77</v>
      </c>
      <c r="C325" s="3" t="str">
        <f>"011045477"</f>
        <v>011045477</v>
      </c>
      <c r="D325" s="3" t="s">
        <v>805</v>
      </c>
      <c r="E325" s="3" t="s">
        <v>806</v>
      </c>
      <c r="F325" s="3" t="s">
        <v>807</v>
      </c>
      <c r="G325" s="3">
        <v>1410.9</v>
      </c>
    </row>
    <row r="326" spans="1:7" x14ac:dyDescent="0.25">
      <c r="A326" s="1" t="s">
        <v>3169</v>
      </c>
      <c r="B326" s="2">
        <v>77</v>
      </c>
      <c r="C326" s="3" t="str">
        <f>"011045558"</f>
        <v>011045558</v>
      </c>
      <c r="D326" s="3" t="s">
        <v>802</v>
      </c>
      <c r="E326" s="3" t="s">
        <v>808</v>
      </c>
      <c r="F326" s="3" t="s">
        <v>809</v>
      </c>
      <c r="G326" s="3">
        <v>10444.959999999999</v>
      </c>
    </row>
    <row r="327" spans="1:7" x14ac:dyDescent="0.25">
      <c r="A327" s="1" t="s">
        <v>3169</v>
      </c>
      <c r="B327" s="2">
        <v>77</v>
      </c>
      <c r="C327" s="3" t="str">
        <f>"011045795"</f>
        <v>011045795</v>
      </c>
      <c r="D327" s="3" t="s">
        <v>306</v>
      </c>
      <c r="E327" s="3"/>
      <c r="F327" s="3" t="s">
        <v>810</v>
      </c>
      <c r="G327" s="3">
        <v>53.96</v>
      </c>
    </row>
    <row r="328" spans="1:7" x14ac:dyDescent="0.25">
      <c r="A328" s="1" t="s">
        <v>3169</v>
      </c>
      <c r="B328" s="2">
        <v>77</v>
      </c>
      <c r="C328" s="3" t="str">
        <f>"011046406"</f>
        <v>011046406</v>
      </c>
      <c r="D328" s="3" t="s">
        <v>811</v>
      </c>
      <c r="E328" s="3"/>
      <c r="F328" s="3" t="s">
        <v>812</v>
      </c>
      <c r="G328" s="3">
        <v>334.6</v>
      </c>
    </row>
    <row r="329" spans="1:7" x14ac:dyDescent="0.25">
      <c r="A329" s="1" t="s">
        <v>3169</v>
      </c>
      <c r="B329" s="2">
        <v>77</v>
      </c>
      <c r="C329" s="3" t="str">
        <f>"011046732"</f>
        <v>011046732</v>
      </c>
      <c r="D329" s="3" t="s">
        <v>813</v>
      </c>
      <c r="E329" s="3"/>
      <c r="F329" s="3" t="s">
        <v>814</v>
      </c>
      <c r="G329" s="3">
        <v>5.82</v>
      </c>
    </row>
    <row r="330" spans="1:7" x14ac:dyDescent="0.25">
      <c r="A330" s="1" t="s">
        <v>3169</v>
      </c>
      <c r="B330" s="2">
        <v>77</v>
      </c>
      <c r="C330" s="3" t="str">
        <f>"011046783"</f>
        <v>011046783</v>
      </c>
      <c r="D330" s="3" t="s">
        <v>538</v>
      </c>
      <c r="E330" s="3"/>
      <c r="F330" s="3" t="s">
        <v>815</v>
      </c>
      <c r="G330" s="3">
        <v>39.619999999999997</v>
      </c>
    </row>
    <row r="331" spans="1:7" x14ac:dyDescent="0.25">
      <c r="A331" s="1" t="s">
        <v>3169</v>
      </c>
      <c r="B331" s="2">
        <v>77</v>
      </c>
      <c r="C331" s="3" t="str">
        <f>"011058331"</f>
        <v>011058331</v>
      </c>
      <c r="D331" s="3" t="s">
        <v>68</v>
      </c>
      <c r="E331" s="3" t="s">
        <v>816</v>
      </c>
      <c r="F331" s="3" t="s">
        <v>817</v>
      </c>
      <c r="G331" s="3">
        <v>5632.6</v>
      </c>
    </row>
    <row r="332" spans="1:7" x14ac:dyDescent="0.25">
      <c r="A332" s="1" t="s">
        <v>3169</v>
      </c>
      <c r="B332" s="2">
        <v>77</v>
      </c>
      <c r="C332" s="3" t="str">
        <f>"011058358"</f>
        <v>011058358</v>
      </c>
      <c r="D332" s="3" t="s">
        <v>68</v>
      </c>
      <c r="E332" s="3" t="s">
        <v>818</v>
      </c>
      <c r="F332" s="3" t="s">
        <v>819</v>
      </c>
      <c r="G332" s="3">
        <v>6488.68</v>
      </c>
    </row>
    <row r="333" spans="1:7" x14ac:dyDescent="0.25">
      <c r="A333" s="1" t="s">
        <v>3169</v>
      </c>
      <c r="B333" s="2">
        <v>77</v>
      </c>
      <c r="C333" s="3" t="str">
        <f>"011058374"</f>
        <v>011058374</v>
      </c>
      <c r="D333" s="3" t="s">
        <v>68</v>
      </c>
      <c r="E333" s="3" t="s">
        <v>820</v>
      </c>
      <c r="F333" s="3" t="s">
        <v>821</v>
      </c>
      <c r="G333" s="3">
        <v>6066.76</v>
      </c>
    </row>
    <row r="334" spans="1:7" x14ac:dyDescent="0.25">
      <c r="A334" s="1" t="s">
        <v>3169</v>
      </c>
      <c r="B334" s="2">
        <v>77</v>
      </c>
      <c r="C334" s="3" t="str">
        <f>"011058390"</f>
        <v>011058390</v>
      </c>
      <c r="D334" s="3" t="s">
        <v>68</v>
      </c>
      <c r="E334" s="3" t="s">
        <v>822</v>
      </c>
      <c r="F334" s="3" t="s">
        <v>823</v>
      </c>
      <c r="G334" s="3">
        <v>5632.6</v>
      </c>
    </row>
    <row r="335" spans="1:7" x14ac:dyDescent="0.25">
      <c r="A335" s="1" t="s">
        <v>3169</v>
      </c>
      <c r="B335" s="2">
        <v>77</v>
      </c>
      <c r="C335" s="3" t="str">
        <f>"011058404"</f>
        <v>011058404</v>
      </c>
      <c r="D335" s="3" t="s">
        <v>68</v>
      </c>
      <c r="E335" s="3" t="s">
        <v>824</v>
      </c>
      <c r="F335" s="3" t="s">
        <v>825</v>
      </c>
      <c r="G335" s="3">
        <v>5918.76</v>
      </c>
    </row>
    <row r="336" spans="1:7" x14ac:dyDescent="0.25">
      <c r="A336" s="1" t="s">
        <v>3169</v>
      </c>
      <c r="B336" s="2">
        <v>77</v>
      </c>
      <c r="C336" s="3" t="str">
        <f>"011058943"</f>
        <v>011058943</v>
      </c>
      <c r="D336" s="3" t="s">
        <v>68</v>
      </c>
      <c r="E336" s="3" t="s">
        <v>826</v>
      </c>
      <c r="F336" s="3" t="s">
        <v>827</v>
      </c>
      <c r="G336" s="3">
        <v>28695.919999999998</v>
      </c>
    </row>
    <row r="337" spans="1:7" x14ac:dyDescent="0.25">
      <c r="A337" s="1" t="s">
        <v>3169</v>
      </c>
      <c r="B337" s="2">
        <v>77</v>
      </c>
      <c r="C337" s="3" t="str">
        <f>"011061766"</f>
        <v>011061766</v>
      </c>
      <c r="D337" s="3" t="s">
        <v>828</v>
      </c>
      <c r="E337" s="3"/>
      <c r="F337" s="3" t="s">
        <v>829</v>
      </c>
      <c r="G337" s="3">
        <v>7.6</v>
      </c>
    </row>
    <row r="338" spans="1:7" x14ac:dyDescent="0.25">
      <c r="A338" s="1" t="s">
        <v>3169</v>
      </c>
      <c r="B338" s="2">
        <v>77</v>
      </c>
      <c r="C338" s="3" t="str">
        <f>"011063149"</f>
        <v>011063149</v>
      </c>
      <c r="D338" s="3" t="s">
        <v>830</v>
      </c>
      <c r="E338" s="3" t="s">
        <v>831</v>
      </c>
      <c r="F338" s="3" t="s">
        <v>832</v>
      </c>
      <c r="G338" s="3">
        <v>3133.37</v>
      </c>
    </row>
    <row r="339" spans="1:7" x14ac:dyDescent="0.25">
      <c r="A339" s="1" t="s">
        <v>3169</v>
      </c>
      <c r="B339" s="2">
        <v>77</v>
      </c>
      <c r="C339" s="3" t="str">
        <f>"011066229"</f>
        <v>011066229</v>
      </c>
      <c r="D339" s="3" t="s">
        <v>833</v>
      </c>
      <c r="E339" s="3" t="s">
        <v>834</v>
      </c>
      <c r="F339" s="3" t="s">
        <v>835</v>
      </c>
      <c r="G339" s="3">
        <v>903.38</v>
      </c>
    </row>
    <row r="340" spans="1:7" x14ac:dyDescent="0.25">
      <c r="A340" s="1" t="s">
        <v>3169</v>
      </c>
      <c r="B340" s="2">
        <v>77</v>
      </c>
      <c r="C340" s="3" t="str">
        <f>"011070013"</f>
        <v>011070013</v>
      </c>
      <c r="D340" s="3" t="s">
        <v>836</v>
      </c>
      <c r="E340" s="3" t="s">
        <v>837</v>
      </c>
      <c r="F340" s="3" t="s">
        <v>838</v>
      </c>
      <c r="G340" s="3">
        <v>5649.94</v>
      </c>
    </row>
    <row r="341" spans="1:7" x14ac:dyDescent="0.25">
      <c r="A341" s="1" t="s">
        <v>3169</v>
      </c>
      <c r="B341" s="2">
        <v>77</v>
      </c>
      <c r="C341" s="3" t="str">
        <f>"011070374"</f>
        <v>011070374</v>
      </c>
      <c r="D341" s="3" t="s">
        <v>839</v>
      </c>
      <c r="E341" s="3" t="s">
        <v>840</v>
      </c>
      <c r="F341" s="3" t="s">
        <v>841</v>
      </c>
      <c r="G341" s="3">
        <v>4745.32</v>
      </c>
    </row>
    <row r="342" spans="1:7" x14ac:dyDescent="0.25">
      <c r="A342" s="1" t="s">
        <v>3169</v>
      </c>
      <c r="B342" s="2">
        <v>77</v>
      </c>
      <c r="C342" s="3" t="str">
        <f>"011077379"</f>
        <v>011077379</v>
      </c>
      <c r="D342" s="3" t="s">
        <v>842</v>
      </c>
      <c r="E342" s="3" t="s">
        <v>843</v>
      </c>
      <c r="F342" s="3" t="s">
        <v>844</v>
      </c>
      <c r="G342" s="3">
        <v>16626.95</v>
      </c>
    </row>
    <row r="343" spans="1:7" x14ac:dyDescent="0.25">
      <c r="A343" s="1" t="s">
        <v>3169</v>
      </c>
      <c r="B343" s="2">
        <v>77</v>
      </c>
      <c r="C343" s="3" t="str">
        <f>"011083905"</f>
        <v>011083905</v>
      </c>
      <c r="D343" s="3" t="s">
        <v>845</v>
      </c>
      <c r="E343" s="3" t="s">
        <v>846</v>
      </c>
      <c r="F343" s="3" t="s">
        <v>847</v>
      </c>
      <c r="G343" s="3">
        <v>5579.86</v>
      </c>
    </row>
    <row r="344" spans="1:7" x14ac:dyDescent="0.25">
      <c r="A344" s="1" t="s">
        <v>3169</v>
      </c>
      <c r="B344" s="2">
        <v>77</v>
      </c>
      <c r="C344" s="3" t="str">
        <f>"011089482"</f>
        <v>011089482</v>
      </c>
      <c r="D344" s="3" t="s">
        <v>848</v>
      </c>
      <c r="E344" s="3" t="s">
        <v>849</v>
      </c>
      <c r="F344" s="3" t="s">
        <v>850</v>
      </c>
      <c r="G344" s="3">
        <v>2075.86</v>
      </c>
    </row>
    <row r="345" spans="1:7" x14ac:dyDescent="0.25">
      <c r="A345" s="1" t="s">
        <v>3169</v>
      </c>
      <c r="B345" s="2">
        <v>77</v>
      </c>
      <c r="C345" s="3" t="str">
        <f>"011090677"</f>
        <v>011090677</v>
      </c>
      <c r="D345" s="3" t="s">
        <v>851</v>
      </c>
      <c r="E345" s="3"/>
      <c r="F345" s="3" t="s">
        <v>852</v>
      </c>
      <c r="G345" s="3">
        <v>10.38</v>
      </c>
    </row>
    <row r="346" spans="1:7" x14ac:dyDescent="0.25">
      <c r="A346" s="1" t="s">
        <v>3169</v>
      </c>
      <c r="B346" s="2">
        <v>77</v>
      </c>
      <c r="C346" s="3" t="str">
        <f>"011094966"</f>
        <v>011094966</v>
      </c>
      <c r="D346" s="3" t="s">
        <v>853</v>
      </c>
      <c r="E346" s="3" t="s">
        <v>854</v>
      </c>
      <c r="F346" s="3" t="s">
        <v>855</v>
      </c>
      <c r="G346" s="3">
        <v>1677.11</v>
      </c>
    </row>
    <row r="347" spans="1:7" x14ac:dyDescent="0.25">
      <c r="A347" s="1" t="s">
        <v>3169</v>
      </c>
      <c r="B347" s="2">
        <v>77</v>
      </c>
      <c r="C347" s="3" t="str">
        <f>"011097442"</f>
        <v>011097442</v>
      </c>
      <c r="D347" s="3" t="s">
        <v>856</v>
      </c>
      <c r="E347" s="3" t="s">
        <v>857</v>
      </c>
      <c r="F347" s="3" t="s">
        <v>858</v>
      </c>
      <c r="G347" s="3">
        <v>8421.6200000000008</v>
      </c>
    </row>
    <row r="348" spans="1:7" x14ac:dyDescent="0.25">
      <c r="A348" s="1" t="s">
        <v>3169</v>
      </c>
      <c r="B348" s="2">
        <v>77</v>
      </c>
      <c r="C348" s="3" t="str">
        <f>"011104244"</f>
        <v>011104244</v>
      </c>
      <c r="D348" s="3" t="s">
        <v>859</v>
      </c>
      <c r="E348" s="3" t="s">
        <v>860</v>
      </c>
      <c r="F348" s="3" t="s">
        <v>861</v>
      </c>
      <c r="G348" s="3">
        <v>8466.84</v>
      </c>
    </row>
    <row r="349" spans="1:7" x14ac:dyDescent="0.25">
      <c r="A349" s="1" t="s">
        <v>3169</v>
      </c>
      <c r="B349" s="2">
        <v>77</v>
      </c>
      <c r="C349" s="3" t="str">
        <f>"011112379"</f>
        <v>011112379</v>
      </c>
      <c r="D349" s="3" t="s">
        <v>862</v>
      </c>
      <c r="E349" s="3" t="s">
        <v>863</v>
      </c>
      <c r="F349" s="3" t="s">
        <v>864</v>
      </c>
      <c r="G349" s="3">
        <v>2398.4699999999998</v>
      </c>
    </row>
    <row r="350" spans="1:7" x14ac:dyDescent="0.25">
      <c r="A350" s="1" t="s">
        <v>3169</v>
      </c>
      <c r="B350" s="2">
        <v>77</v>
      </c>
      <c r="C350" s="3" t="str">
        <f>"011113464"</f>
        <v>011113464</v>
      </c>
      <c r="D350" s="3" t="s">
        <v>865</v>
      </c>
      <c r="E350" s="3" t="s">
        <v>866</v>
      </c>
      <c r="F350" s="3" t="s">
        <v>867</v>
      </c>
      <c r="G350" s="3">
        <v>3008.84</v>
      </c>
    </row>
    <row r="351" spans="1:7" x14ac:dyDescent="0.25">
      <c r="A351" s="1" t="s">
        <v>3169</v>
      </c>
      <c r="B351" s="2">
        <v>77</v>
      </c>
      <c r="C351" s="3" t="str">
        <f>"011120320"</f>
        <v>011120320</v>
      </c>
      <c r="D351" s="3" t="s">
        <v>868</v>
      </c>
      <c r="E351" s="3" t="s">
        <v>869</v>
      </c>
      <c r="F351" s="3" t="s">
        <v>870</v>
      </c>
      <c r="G351" s="3">
        <v>4115.63</v>
      </c>
    </row>
    <row r="352" spans="1:7" x14ac:dyDescent="0.25">
      <c r="A352" s="1" t="s">
        <v>3169</v>
      </c>
      <c r="B352" s="2">
        <v>77</v>
      </c>
      <c r="C352" s="3" t="str">
        <f>"011125683"</f>
        <v>011125683</v>
      </c>
      <c r="D352" s="3" t="s">
        <v>871</v>
      </c>
      <c r="E352" s="3" t="s">
        <v>872</v>
      </c>
      <c r="F352" s="3" t="s">
        <v>873</v>
      </c>
      <c r="G352" s="3">
        <v>1884.13</v>
      </c>
    </row>
    <row r="353" spans="1:7" x14ac:dyDescent="0.25">
      <c r="A353" s="1" t="s">
        <v>3169</v>
      </c>
      <c r="B353" s="2">
        <v>77</v>
      </c>
      <c r="C353" s="3" t="str">
        <f>"011125772"</f>
        <v>011125772</v>
      </c>
      <c r="D353" s="3" t="s">
        <v>874</v>
      </c>
      <c r="E353" s="3" t="s">
        <v>875</v>
      </c>
      <c r="F353" s="3" t="s">
        <v>876</v>
      </c>
      <c r="G353" s="3">
        <v>4302.18</v>
      </c>
    </row>
    <row r="354" spans="1:7" x14ac:dyDescent="0.25">
      <c r="A354" s="1" t="s">
        <v>3169</v>
      </c>
      <c r="B354" s="2">
        <v>77</v>
      </c>
      <c r="C354" s="3" t="str">
        <f>"011125942"</f>
        <v>011125942</v>
      </c>
      <c r="D354" s="3" t="s">
        <v>877</v>
      </c>
      <c r="E354" s="3" t="s">
        <v>878</v>
      </c>
      <c r="F354" s="3" t="s">
        <v>879</v>
      </c>
      <c r="G354" s="3">
        <v>3621.5</v>
      </c>
    </row>
    <row r="355" spans="1:7" x14ac:dyDescent="0.25">
      <c r="A355" s="1" t="s">
        <v>3169</v>
      </c>
      <c r="B355" s="2">
        <v>77</v>
      </c>
      <c r="C355" s="3" t="str">
        <f>"011128593"</f>
        <v>011128593</v>
      </c>
      <c r="D355" s="3" t="s">
        <v>880</v>
      </c>
      <c r="E355" s="3" t="s">
        <v>881</v>
      </c>
      <c r="F355" s="3" t="s">
        <v>882</v>
      </c>
      <c r="G355" s="3">
        <v>4637.32</v>
      </c>
    </row>
    <row r="356" spans="1:7" x14ac:dyDescent="0.25">
      <c r="A356" s="1" t="s">
        <v>3169</v>
      </c>
      <c r="B356" s="2">
        <v>77</v>
      </c>
      <c r="C356" s="3" t="str">
        <f>"011134356"</f>
        <v>011134356</v>
      </c>
      <c r="D356" s="3" t="s">
        <v>883</v>
      </c>
      <c r="E356" s="3" t="s">
        <v>884</v>
      </c>
      <c r="F356" s="3" t="s">
        <v>885</v>
      </c>
      <c r="G356" s="3">
        <v>2589</v>
      </c>
    </row>
    <row r="357" spans="1:7" x14ac:dyDescent="0.25">
      <c r="A357" s="1" t="s">
        <v>3169</v>
      </c>
      <c r="B357" s="2">
        <v>77</v>
      </c>
      <c r="C357" s="3" t="str">
        <f>"011136529"</f>
        <v>011136529</v>
      </c>
      <c r="D357" s="3" t="s">
        <v>886</v>
      </c>
      <c r="E357" s="3"/>
      <c r="F357" s="3" t="s">
        <v>887</v>
      </c>
      <c r="G357" s="3">
        <v>21.58</v>
      </c>
    </row>
    <row r="358" spans="1:7" x14ac:dyDescent="0.25">
      <c r="A358" s="1" t="s">
        <v>3169</v>
      </c>
      <c r="B358" s="2">
        <v>77</v>
      </c>
      <c r="C358" s="3" t="str">
        <f>"011145633"</f>
        <v>011145633</v>
      </c>
      <c r="D358" s="3" t="s">
        <v>888</v>
      </c>
      <c r="E358" s="3" t="s">
        <v>889</v>
      </c>
      <c r="F358" s="3" t="s">
        <v>890</v>
      </c>
      <c r="G358" s="3">
        <v>2658.42</v>
      </c>
    </row>
    <row r="359" spans="1:7" x14ac:dyDescent="0.25">
      <c r="A359" s="1" t="s">
        <v>3169</v>
      </c>
      <c r="B359" s="2">
        <v>77</v>
      </c>
      <c r="C359" s="3" t="str">
        <f>"011156708"</f>
        <v>011156708</v>
      </c>
      <c r="D359" s="3" t="s">
        <v>891</v>
      </c>
      <c r="E359" s="3"/>
      <c r="F359" s="3" t="s">
        <v>892</v>
      </c>
      <c r="G359" s="3">
        <v>89.15</v>
      </c>
    </row>
    <row r="360" spans="1:7" x14ac:dyDescent="0.25">
      <c r="A360" s="1" t="s">
        <v>3169</v>
      </c>
      <c r="B360" s="2">
        <v>77</v>
      </c>
      <c r="C360" s="3" t="str">
        <f>"011157100"</f>
        <v>011157100</v>
      </c>
      <c r="D360" s="3" t="s">
        <v>893</v>
      </c>
      <c r="E360" s="3"/>
      <c r="F360" s="3" t="s">
        <v>894</v>
      </c>
      <c r="G360" s="3">
        <v>10.56</v>
      </c>
    </row>
    <row r="361" spans="1:7" x14ac:dyDescent="0.25">
      <c r="A361" s="1" t="s">
        <v>3169</v>
      </c>
      <c r="B361" s="2">
        <v>77</v>
      </c>
      <c r="C361" s="3" t="str">
        <f>"011162392"</f>
        <v>011162392</v>
      </c>
      <c r="D361" s="3" t="s">
        <v>895</v>
      </c>
      <c r="E361" s="3"/>
      <c r="F361" s="3" t="s">
        <v>896</v>
      </c>
      <c r="G361" s="3">
        <v>1339.28</v>
      </c>
    </row>
    <row r="362" spans="1:7" x14ac:dyDescent="0.25">
      <c r="A362" s="1" t="s">
        <v>3169</v>
      </c>
      <c r="B362" s="2">
        <v>77</v>
      </c>
      <c r="C362" s="3" t="str">
        <f>"011170336"</f>
        <v>011170336</v>
      </c>
      <c r="D362" s="3" t="s">
        <v>897</v>
      </c>
      <c r="E362" s="3"/>
      <c r="F362" s="3" t="s">
        <v>898</v>
      </c>
      <c r="G362" s="3">
        <v>5466.66</v>
      </c>
    </row>
    <row r="363" spans="1:7" x14ac:dyDescent="0.25">
      <c r="A363" s="1" t="s">
        <v>3169</v>
      </c>
      <c r="B363" s="2">
        <v>77</v>
      </c>
      <c r="C363" s="3" t="str">
        <f>"011175680"</f>
        <v>011175680</v>
      </c>
      <c r="D363" s="3" t="s">
        <v>899</v>
      </c>
      <c r="E363" s="3"/>
      <c r="F363" s="3" t="s">
        <v>900</v>
      </c>
      <c r="G363" s="3">
        <v>7345.78</v>
      </c>
    </row>
    <row r="364" spans="1:7" x14ac:dyDescent="0.25">
      <c r="A364" s="1" t="s">
        <v>3169</v>
      </c>
      <c r="B364" s="2">
        <v>77</v>
      </c>
      <c r="C364" s="3" t="str">
        <f>"011175893"</f>
        <v>011175893</v>
      </c>
      <c r="D364" s="3" t="s">
        <v>901</v>
      </c>
      <c r="E364" s="3" t="s">
        <v>902</v>
      </c>
      <c r="F364" s="3" t="s">
        <v>903</v>
      </c>
      <c r="G364" s="3">
        <v>33641.64</v>
      </c>
    </row>
    <row r="365" spans="1:7" x14ac:dyDescent="0.25">
      <c r="A365" s="1" t="s">
        <v>3169</v>
      </c>
      <c r="B365" s="2">
        <v>77</v>
      </c>
      <c r="C365" s="3" t="str">
        <f>"011175974"</f>
        <v>011175974</v>
      </c>
      <c r="D365" s="3" t="s">
        <v>901</v>
      </c>
      <c r="E365" s="3"/>
      <c r="F365" s="3" t="s">
        <v>904</v>
      </c>
      <c r="G365" s="3">
        <v>18.64</v>
      </c>
    </row>
    <row r="366" spans="1:7" x14ac:dyDescent="0.25">
      <c r="A366" s="1" t="s">
        <v>3169</v>
      </c>
      <c r="B366" s="2">
        <v>77</v>
      </c>
      <c r="C366" s="3" t="str">
        <f>"011175982"</f>
        <v>011175982</v>
      </c>
      <c r="D366" s="3" t="s">
        <v>901</v>
      </c>
      <c r="E366" s="3"/>
      <c r="F366" s="3" t="s">
        <v>905</v>
      </c>
      <c r="G366" s="3">
        <v>13.18</v>
      </c>
    </row>
    <row r="367" spans="1:7" x14ac:dyDescent="0.25">
      <c r="A367" s="1" t="s">
        <v>3169</v>
      </c>
      <c r="B367" s="2">
        <v>77</v>
      </c>
      <c r="C367" s="3" t="str">
        <f>"011175990"</f>
        <v>011175990</v>
      </c>
      <c r="D367" s="3" t="s">
        <v>901</v>
      </c>
      <c r="E367" s="3"/>
      <c r="F367" s="3" t="s">
        <v>906</v>
      </c>
      <c r="G367" s="3">
        <v>16.739999999999998</v>
      </c>
    </row>
    <row r="368" spans="1:7" x14ac:dyDescent="0.25">
      <c r="A368" s="1" t="s">
        <v>3169</v>
      </c>
      <c r="B368" s="2">
        <v>77</v>
      </c>
      <c r="C368" s="3" t="str">
        <f>"011176164"</f>
        <v>011176164</v>
      </c>
      <c r="D368" s="3" t="s">
        <v>907</v>
      </c>
      <c r="E368" s="3"/>
      <c r="F368" s="3" t="s">
        <v>908</v>
      </c>
      <c r="G368" s="3">
        <v>126.7</v>
      </c>
    </row>
    <row r="369" spans="1:7" x14ac:dyDescent="0.25">
      <c r="A369" s="1" t="s">
        <v>3169</v>
      </c>
      <c r="B369" s="2">
        <v>77</v>
      </c>
      <c r="C369" s="3" t="str">
        <f>"011176172"</f>
        <v>011176172</v>
      </c>
      <c r="D369" s="3" t="s">
        <v>907</v>
      </c>
      <c r="E369" s="3"/>
      <c r="F369" s="3" t="s">
        <v>909</v>
      </c>
      <c r="G369" s="3">
        <v>126.7</v>
      </c>
    </row>
    <row r="370" spans="1:7" x14ac:dyDescent="0.25">
      <c r="A370" s="1" t="s">
        <v>3169</v>
      </c>
      <c r="B370" s="2">
        <v>77</v>
      </c>
      <c r="C370" s="3" t="str">
        <f>"011176318"</f>
        <v>011176318</v>
      </c>
      <c r="D370" s="3" t="s">
        <v>7</v>
      </c>
      <c r="E370" s="3" t="s">
        <v>910</v>
      </c>
      <c r="F370" s="3" t="s">
        <v>911</v>
      </c>
      <c r="G370" s="3">
        <v>6555.4</v>
      </c>
    </row>
    <row r="371" spans="1:7" x14ac:dyDescent="0.25">
      <c r="A371" s="1" t="s">
        <v>3169</v>
      </c>
      <c r="B371" s="2">
        <v>77</v>
      </c>
      <c r="C371" s="3" t="str">
        <f>"011181087"</f>
        <v>011181087</v>
      </c>
      <c r="D371" s="3" t="s">
        <v>912</v>
      </c>
      <c r="E371" s="3"/>
      <c r="F371" s="3" t="s">
        <v>913</v>
      </c>
      <c r="G371" s="3">
        <v>846.02</v>
      </c>
    </row>
    <row r="372" spans="1:7" x14ac:dyDescent="0.25">
      <c r="A372" s="1" t="s">
        <v>3169</v>
      </c>
      <c r="B372" s="2">
        <v>77</v>
      </c>
      <c r="C372" s="3" t="str">
        <f>"011215720"</f>
        <v>011215720</v>
      </c>
      <c r="D372" s="3" t="s">
        <v>914</v>
      </c>
      <c r="E372" s="3" t="s">
        <v>915</v>
      </c>
      <c r="F372" s="3" t="s">
        <v>916</v>
      </c>
      <c r="G372" s="3">
        <v>19424.18</v>
      </c>
    </row>
    <row r="373" spans="1:7" x14ac:dyDescent="0.25">
      <c r="A373" s="1" t="s">
        <v>3169</v>
      </c>
      <c r="B373" s="2">
        <v>77</v>
      </c>
      <c r="C373" s="3" t="str">
        <f>"011216689"</f>
        <v>011216689</v>
      </c>
      <c r="D373" s="3" t="s">
        <v>917</v>
      </c>
      <c r="E373" s="3" t="s">
        <v>918</v>
      </c>
      <c r="F373" s="3" t="s">
        <v>919</v>
      </c>
      <c r="G373" s="3">
        <v>8723.26</v>
      </c>
    </row>
    <row r="374" spans="1:7" x14ac:dyDescent="0.25">
      <c r="A374" s="1" t="s">
        <v>3169</v>
      </c>
      <c r="B374" s="2">
        <v>77</v>
      </c>
      <c r="C374" s="3" t="str">
        <f>"011217510"</f>
        <v>011217510</v>
      </c>
      <c r="D374" s="3" t="s">
        <v>920</v>
      </c>
      <c r="E374" s="3" t="s">
        <v>921</v>
      </c>
      <c r="F374" s="3" t="s">
        <v>922</v>
      </c>
      <c r="G374" s="3">
        <v>4715.72</v>
      </c>
    </row>
    <row r="375" spans="1:7" x14ac:dyDescent="0.25">
      <c r="A375" s="1" t="s">
        <v>3169</v>
      </c>
      <c r="B375" s="2">
        <v>77</v>
      </c>
      <c r="C375" s="3" t="str">
        <f>"011223170"</f>
        <v>011223170</v>
      </c>
      <c r="D375" s="3" t="s">
        <v>538</v>
      </c>
      <c r="E375" s="3"/>
      <c r="F375" s="3" t="s">
        <v>923</v>
      </c>
      <c r="G375" s="3">
        <v>32.380000000000003</v>
      </c>
    </row>
    <row r="376" spans="1:7" x14ac:dyDescent="0.25">
      <c r="A376" s="1" t="s">
        <v>3169</v>
      </c>
      <c r="B376" s="2">
        <v>77</v>
      </c>
      <c r="C376" s="3" t="str">
        <f>"011228423"</f>
        <v>011228423</v>
      </c>
      <c r="D376" s="3" t="s">
        <v>924</v>
      </c>
      <c r="E376" s="3" t="s">
        <v>925</v>
      </c>
      <c r="F376" s="3" t="s">
        <v>926</v>
      </c>
      <c r="G376" s="3">
        <v>7384</v>
      </c>
    </row>
    <row r="377" spans="1:7" x14ac:dyDescent="0.25">
      <c r="A377" s="1" t="s">
        <v>3169</v>
      </c>
      <c r="B377" s="2">
        <v>77</v>
      </c>
      <c r="C377" s="3" t="str">
        <f>"011229519"</f>
        <v>011229519</v>
      </c>
      <c r="D377" s="3" t="s">
        <v>927</v>
      </c>
      <c r="E377" s="3"/>
      <c r="F377" s="3" t="s">
        <v>928</v>
      </c>
      <c r="G377" s="3">
        <v>647.26</v>
      </c>
    </row>
    <row r="378" spans="1:7" x14ac:dyDescent="0.25">
      <c r="A378" s="1" t="s">
        <v>3169</v>
      </c>
      <c r="B378" s="2">
        <v>77</v>
      </c>
      <c r="C378" s="3" t="str">
        <f>"011231793"</f>
        <v>011231793</v>
      </c>
      <c r="D378" s="3" t="s">
        <v>929</v>
      </c>
      <c r="E378" s="3" t="s">
        <v>930</v>
      </c>
      <c r="F378" s="3" t="s">
        <v>931</v>
      </c>
      <c r="G378" s="3">
        <v>4588.82</v>
      </c>
    </row>
    <row r="379" spans="1:7" x14ac:dyDescent="0.25">
      <c r="A379" s="1" t="s">
        <v>3169</v>
      </c>
      <c r="B379" s="2">
        <v>77</v>
      </c>
      <c r="C379" s="3" t="str">
        <f>"011233206"</f>
        <v>011233206</v>
      </c>
      <c r="D379" s="3" t="s">
        <v>932</v>
      </c>
      <c r="E379" s="3" t="s">
        <v>933</v>
      </c>
      <c r="F379" s="3" t="s">
        <v>934</v>
      </c>
      <c r="G379" s="3">
        <v>6015.46</v>
      </c>
    </row>
    <row r="380" spans="1:7" x14ac:dyDescent="0.25">
      <c r="A380" s="1" t="s">
        <v>3169</v>
      </c>
      <c r="B380" s="2">
        <v>77</v>
      </c>
      <c r="C380" s="3" t="str">
        <f>"011233818"</f>
        <v>011233818</v>
      </c>
      <c r="D380" s="3" t="s">
        <v>935</v>
      </c>
      <c r="E380" s="3"/>
      <c r="F380" s="3" t="s">
        <v>936</v>
      </c>
      <c r="G380" s="3">
        <v>6.62</v>
      </c>
    </row>
    <row r="381" spans="1:7" x14ac:dyDescent="0.25">
      <c r="A381" s="1" t="s">
        <v>3169</v>
      </c>
      <c r="B381" s="2">
        <v>77</v>
      </c>
      <c r="C381" s="3" t="str">
        <f>"011234261"</f>
        <v>011234261</v>
      </c>
      <c r="D381" s="3" t="s">
        <v>891</v>
      </c>
      <c r="E381" s="3"/>
      <c r="F381" s="3" t="s">
        <v>937</v>
      </c>
      <c r="G381" s="3">
        <v>11.24</v>
      </c>
    </row>
    <row r="382" spans="1:7" x14ac:dyDescent="0.25">
      <c r="A382" s="1" t="s">
        <v>3169</v>
      </c>
      <c r="B382" s="2">
        <v>77</v>
      </c>
      <c r="C382" s="3" t="str">
        <f>"011234288"</f>
        <v>011234288</v>
      </c>
      <c r="D382" s="3" t="s">
        <v>891</v>
      </c>
      <c r="E382" s="3"/>
      <c r="F382" s="3" t="s">
        <v>938</v>
      </c>
      <c r="G382" s="3">
        <v>52.17</v>
      </c>
    </row>
    <row r="383" spans="1:7" x14ac:dyDescent="0.25">
      <c r="A383" s="1" t="s">
        <v>3169</v>
      </c>
      <c r="B383" s="2">
        <v>77</v>
      </c>
      <c r="C383" s="3" t="str">
        <f>"011241918"</f>
        <v>011241918</v>
      </c>
      <c r="D383" s="3" t="s">
        <v>939</v>
      </c>
      <c r="E383" s="3" t="s">
        <v>940</v>
      </c>
      <c r="F383" s="3" t="s">
        <v>941</v>
      </c>
      <c r="G383" s="3">
        <v>7380.9</v>
      </c>
    </row>
    <row r="384" spans="1:7" x14ac:dyDescent="0.25">
      <c r="A384" s="1" t="s">
        <v>3169</v>
      </c>
      <c r="B384" s="2">
        <v>77</v>
      </c>
      <c r="C384" s="3" t="str">
        <f>"011253207"</f>
        <v>011253207</v>
      </c>
      <c r="D384" s="3" t="s">
        <v>942</v>
      </c>
      <c r="E384" s="3" t="s">
        <v>943</v>
      </c>
      <c r="F384" s="3" t="s">
        <v>944</v>
      </c>
      <c r="G384" s="3">
        <v>2433.56</v>
      </c>
    </row>
    <row r="385" spans="1:7" x14ac:dyDescent="0.25">
      <c r="A385" s="1" t="s">
        <v>3169</v>
      </c>
      <c r="B385" s="2">
        <v>77</v>
      </c>
      <c r="C385" s="3" t="str">
        <f>"011254645"</f>
        <v>011254645</v>
      </c>
      <c r="D385" s="3" t="s">
        <v>706</v>
      </c>
      <c r="E385" s="3"/>
      <c r="F385" s="3" t="s">
        <v>945</v>
      </c>
      <c r="G385" s="3">
        <v>920.78</v>
      </c>
    </row>
    <row r="386" spans="1:7" x14ac:dyDescent="0.25">
      <c r="A386" s="1" t="s">
        <v>3169</v>
      </c>
      <c r="B386" s="2">
        <v>77</v>
      </c>
      <c r="C386" s="3" t="str">
        <f>"011254653"</f>
        <v>011254653</v>
      </c>
      <c r="D386" s="3" t="s">
        <v>706</v>
      </c>
      <c r="E386" s="3"/>
      <c r="F386" s="3" t="s">
        <v>946</v>
      </c>
      <c r="G386" s="3">
        <v>114.82</v>
      </c>
    </row>
    <row r="387" spans="1:7" x14ac:dyDescent="0.25">
      <c r="A387" s="1" t="s">
        <v>3169</v>
      </c>
      <c r="B387" s="2">
        <v>77</v>
      </c>
      <c r="C387" s="3" t="str">
        <f>"011255137"</f>
        <v>011255137</v>
      </c>
      <c r="D387" s="3" t="s">
        <v>947</v>
      </c>
      <c r="E387" s="3"/>
      <c r="F387" s="3" t="s">
        <v>948</v>
      </c>
      <c r="G387" s="3">
        <v>17.14</v>
      </c>
    </row>
    <row r="388" spans="1:7" x14ac:dyDescent="0.25">
      <c r="A388" s="1" t="s">
        <v>3169</v>
      </c>
      <c r="B388" s="2">
        <v>77</v>
      </c>
      <c r="C388" s="3" t="str">
        <f>"011271108"</f>
        <v>011271108</v>
      </c>
      <c r="D388" s="3" t="s">
        <v>949</v>
      </c>
      <c r="E388" s="3" t="s">
        <v>950</v>
      </c>
      <c r="F388" s="3" t="s">
        <v>951</v>
      </c>
      <c r="G388" s="3">
        <v>5441.04</v>
      </c>
    </row>
    <row r="389" spans="1:7" x14ac:dyDescent="0.25">
      <c r="A389" s="1" t="s">
        <v>3169</v>
      </c>
      <c r="B389" s="2">
        <v>77</v>
      </c>
      <c r="C389" s="3" t="str">
        <f>"011272333"</f>
        <v>011272333</v>
      </c>
      <c r="D389" s="3" t="s">
        <v>952</v>
      </c>
      <c r="E389" s="3"/>
      <c r="F389" s="3" t="s">
        <v>953</v>
      </c>
      <c r="G389" s="3">
        <v>203.81</v>
      </c>
    </row>
    <row r="390" spans="1:7" x14ac:dyDescent="0.25">
      <c r="A390" s="1" t="s">
        <v>3169</v>
      </c>
      <c r="B390" s="2">
        <v>77</v>
      </c>
      <c r="C390" s="3" t="str">
        <f>"011276444"</f>
        <v>011276444</v>
      </c>
      <c r="D390" s="3" t="s">
        <v>954</v>
      </c>
      <c r="E390" s="3"/>
      <c r="F390" s="3" t="s">
        <v>955</v>
      </c>
      <c r="G390" s="3">
        <v>208.62</v>
      </c>
    </row>
    <row r="391" spans="1:7" x14ac:dyDescent="0.25">
      <c r="A391" s="1" t="s">
        <v>3169</v>
      </c>
      <c r="B391" s="2">
        <v>77</v>
      </c>
      <c r="C391" s="3" t="str">
        <f>"011276460"</f>
        <v>011276460</v>
      </c>
      <c r="D391" s="3" t="s">
        <v>956</v>
      </c>
      <c r="E391" s="3"/>
      <c r="F391" s="3" t="s">
        <v>957</v>
      </c>
      <c r="G391" s="3">
        <v>16.739999999999998</v>
      </c>
    </row>
    <row r="392" spans="1:7" x14ac:dyDescent="0.25">
      <c r="A392" s="1" t="s">
        <v>3169</v>
      </c>
      <c r="B392" s="2">
        <v>77</v>
      </c>
      <c r="C392" s="3" t="str">
        <f>"011293446"</f>
        <v>011293446</v>
      </c>
      <c r="D392" s="3" t="s">
        <v>958</v>
      </c>
      <c r="E392" s="3"/>
      <c r="F392" s="3" t="s">
        <v>959</v>
      </c>
      <c r="G392" s="3">
        <v>3.7</v>
      </c>
    </row>
    <row r="393" spans="1:7" x14ac:dyDescent="0.25">
      <c r="A393" s="1" t="s">
        <v>3169</v>
      </c>
      <c r="B393" s="2">
        <v>77</v>
      </c>
      <c r="C393" s="3" t="str">
        <f>"011301309"</f>
        <v>011301309</v>
      </c>
      <c r="D393" s="3" t="s">
        <v>960</v>
      </c>
      <c r="E393" s="3" t="s">
        <v>961</v>
      </c>
      <c r="F393" s="3" t="s">
        <v>962</v>
      </c>
      <c r="G393" s="3">
        <v>4547.83</v>
      </c>
    </row>
    <row r="394" spans="1:7" x14ac:dyDescent="0.25">
      <c r="A394" s="1" t="s">
        <v>3169</v>
      </c>
      <c r="B394" s="2">
        <v>77</v>
      </c>
      <c r="C394" s="3" t="str">
        <f>"011305843"</f>
        <v>011305843</v>
      </c>
      <c r="D394" s="3" t="s">
        <v>963</v>
      </c>
      <c r="E394" s="3" t="s">
        <v>964</v>
      </c>
      <c r="F394" s="3" t="s">
        <v>965</v>
      </c>
      <c r="G394" s="3">
        <v>1436.12</v>
      </c>
    </row>
    <row r="395" spans="1:7" x14ac:dyDescent="0.25">
      <c r="A395" s="1" t="s">
        <v>3169</v>
      </c>
      <c r="B395" s="2">
        <v>77</v>
      </c>
      <c r="C395" s="3" t="str">
        <f>"011317426"</f>
        <v>011317426</v>
      </c>
      <c r="D395" s="3" t="s">
        <v>966</v>
      </c>
      <c r="E395" s="3"/>
      <c r="F395" s="3" t="s">
        <v>967</v>
      </c>
      <c r="G395" s="3">
        <v>39.119999999999997</v>
      </c>
    </row>
    <row r="396" spans="1:7" x14ac:dyDescent="0.25">
      <c r="A396" s="1" t="s">
        <v>3169</v>
      </c>
      <c r="B396" s="2">
        <v>77</v>
      </c>
      <c r="C396" s="3" t="str">
        <f>"011318856"</f>
        <v>011318856</v>
      </c>
      <c r="D396" s="3" t="s">
        <v>968</v>
      </c>
      <c r="E396" s="3"/>
      <c r="F396" s="3" t="s">
        <v>969</v>
      </c>
      <c r="G396" s="3">
        <v>2.36</v>
      </c>
    </row>
    <row r="397" spans="1:7" x14ac:dyDescent="0.25">
      <c r="A397" s="1" t="s">
        <v>3169</v>
      </c>
      <c r="B397" s="2">
        <v>77</v>
      </c>
      <c r="C397" s="3" t="str">
        <f>"011321520"</f>
        <v>011321520</v>
      </c>
      <c r="D397" s="3" t="s">
        <v>970</v>
      </c>
      <c r="E397" s="3" t="s">
        <v>971</v>
      </c>
      <c r="F397" s="3" t="s">
        <v>972</v>
      </c>
      <c r="G397" s="3">
        <v>2185.7800000000002</v>
      </c>
    </row>
    <row r="398" spans="1:7" x14ac:dyDescent="0.25">
      <c r="A398" s="1" t="s">
        <v>3169</v>
      </c>
      <c r="B398" s="2">
        <v>77</v>
      </c>
      <c r="C398" s="3" t="str">
        <f>"011322020"</f>
        <v>011322020</v>
      </c>
      <c r="D398" s="3" t="s">
        <v>973</v>
      </c>
      <c r="E398" s="3" t="s">
        <v>974</v>
      </c>
      <c r="F398" s="3" t="s">
        <v>975</v>
      </c>
      <c r="G398" s="3">
        <v>4488.9399999999996</v>
      </c>
    </row>
    <row r="399" spans="1:7" x14ac:dyDescent="0.25">
      <c r="A399" s="1" t="s">
        <v>3169</v>
      </c>
      <c r="B399" s="2">
        <v>77</v>
      </c>
      <c r="C399" s="3" t="str">
        <f>"011326646"</f>
        <v>011326646</v>
      </c>
      <c r="D399" s="3" t="s">
        <v>976</v>
      </c>
      <c r="E399" s="3" t="s">
        <v>977</v>
      </c>
      <c r="F399" s="3" t="s">
        <v>978</v>
      </c>
      <c r="G399" s="3">
        <v>3530.09</v>
      </c>
    </row>
    <row r="400" spans="1:7" x14ac:dyDescent="0.25">
      <c r="A400" s="1" t="s">
        <v>3169</v>
      </c>
      <c r="B400" s="2">
        <v>77</v>
      </c>
      <c r="C400" s="3" t="str">
        <f>"011328827"</f>
        <v>011328827</v>
      </c>
      <c r="D400" s="3" t="s">
        <v>979</v>
      </c>
      <c r="E400" s="3" t="s">
        <v>980</v>
      </c>
      <c r="F400" s="3" t="s">
        <v>981</v>
      </c>
      <c r="G400" s="3">
        <v>4085.04</v>
      </c>
    </row>
    <row r="401" spans="1:7" x14ac:dyDescent="0.25">
      <c r="A401" s="1" t="s">
        <v>3169</v>
      </c>
      <c r="B401" s="2">
        <v>77</v>
      </c>
      <c r="C401" s="3" t="str">
        <f>"011330775"</f>
        <v>011330775</v>
      </c>
      <c r="D401" s="3" t="s">
        <v>982</v>
      </c>
      <c r="E401" s="3" t="s">
        <v>983</v>
      </c>
      <c r="F401" s="3" t="s">
        <v>984</v>
      </c>
      <c r="G401" s="3">
        <v>2044.61</v>
      </c>
    </row>
    <row r="402" spans="1:7" x14ac:dyDescent="0.25">
      <c r="A402" s="1" t="s">
        <v>3169</v>
      </c>
      <c r="B402" s="2">
        <v>77</v>
      </c>
      <c r="C402" s="3" t="str">
        <f>"011331828"</f>
        <v>011331828</v>
      </c>
      <c r="D402" s="3" t="s">
        <v>985</v>
      </c>
      <c r="E402" s="3" t="s">
        <v>986</v>
      </c>
      <c r="F402" s="3" t="s">
        <v>987</v>
      </c>
      <c r="G402" s="3">
        <v>1340.46</v>
      </c>
    </row>
    <row r="403" spans="1:7" x14ac:dyDescent="0.25">
      <c r="A403" s="1" t="s">
        <v>3169</v>
      </c>
      <c r="B403" s="2">
        <v>77</v>
      </c>
      <c r="C403" s="3" t="str">
        <f>"011335211"</f>
        <v>011335211</v>
      </c>
      <c r="D403" s="3" t="s">
        <v>988</v>
      </c>
      <c r="E403" s="3"/>
      <c r="F403" s="3" t="s">
        <v>989</v>
      </c>
      <c r="G403" s="3">
        <v>275.73</v>
      </c>
    </row>
    <row r="404" spans="1:7" x14ac:dyDescent="0.25">
      <c r="A404" s="1" t="s">
        <v>3169</v>
      </c>
      <c r="B404" s="2">
        <v>77</v>
      </c>
      <c r="C404" s="3" t="str">
        <f>"011336471"</f>
        <v>011336471</v>
      </c>
      <c r="D404" s="3" t="s">
        <v>990</v>
      </c>
      <c r="E404" s="3" t="s">
        <v>991</v>
      </c>
      <c r="F404" s="3" t="s">
        <v>992</v>
      </c>
      <c r="G404" s="3">
        <v>13385.72</v>
      </c>
    </row>
    <row r="405" spans="1:7" x14ac:dyDescent="0.25">
      <c r="A405" s="1" t="s">
        <v>3169</v>
      </c>
      <c r="B405" s="2">
        <v>77</v>
      </c>
      <c r="C405" s="3" t="str">
        <f>"011343184"</f>
        <v>011343184</v>
      </c>
      <c r="D405" s="3" t="s">
        <v>993</v>
      </c>
      <c r="E405" s="3"/>
      <c r="F405" s="3" t="s">
        <v>994</v>
      </c>
      <c r="G405" s="3">
        <v>1862.68</v>
      </c>
    </row>
    <row r="406" spans="1:7" x14ac:dyDescent="0.25">
      <c r="A406" s="1" t="s">
        <v>3169</v>
      </c>
      <c r="B406" s="2">
        <v>77</v>
      </c>
      <c r="C406" s="3" t="str">
        <f>"011351101"</f>
        <v>011351101</v>
      </c>
      <c r="D406" s="3" t="s">
        <v>995</v>
      </c>
      <c r="E406" s="3" t="s">
        <v>996</v>
      </c>
      <c r="F406" s="3" t="s">
        <v>997</v>
      </c>
      <c r="G406" s="3">
        <v>6258.44</v>
      </c>
    </row>
    <row r="407" spans="1:7" x14ac:dyDescent="0.25">
      <c r="A407" s="1" t="s">
        <v>3169</v>
      </c>
      <c r="B407" s="2">
        <v>77</v>
      </c>
      <c r="C407" s="3" t="str">
        <f>"011352310"</f>
        <v>011352310</v>
      </c>
      <c r="D407" s="3" t="s">
        <v>630</v>
      </c>
      <c r="E407" s="3"/>
      <c r="F407" s="3" t="s">
        <v>998</v>
      </c>
      <c r="G407" s="3">
        <v>81.88</v>
      </c>
    </row>
    <row r="408" spans="1:7" x14ac:dyDescent="0.25">
      <c r="A408" s="1" t="s">
        <v>3169</v>
      </c>
      <c r="B408" s="2">
        <v>77</v>
      </c>
      <c r="C408" s="3" t="str">
        <f>"011356025"</f>
        <v>011356025</v>
      </c>
      <c r="D408" s="3" t="s">
        <v>999</v>
      </c>
      <c r="E408" s="3" t="s">
        <v>1000</v>
      </c>
      <c r="F408" s="3" t="s">
        <v>1001</v>
      </c>
      <c r="G408" s="3">
        <v>3606.45</v>
      </c>
    </row>
    <row r="409" spans="1:7" x14ac:dyDescent="0.25">
      <c r="A409" s="1" t="s">
        <v>3169</v>
      </c>
      <c r="B409" s="2">
        <v>77</v>
      </c>
      <c r="C409" s="3" t="str">
        <f>"011356102"</f>
        <v>011356102</v>
      </c>
      <c r="D409" s="3" t="s">
        <v>1002</v>
      </c>
      <c r="E409" s="3" t="s">
        <v>1003</v>
      </c>
      <c r="F409" s="3" t="s">
        <v>1004</v>
      </c>
      <c r="G409" s="3">
        <v>7245.76</v>
      </c>
    </row>
    <row r="410" spans="1:7" x14ac:dyDescent="0.25">
      <c r="A410" s="1" t="s">
        <v>3169</v>
      </c>
      <c r="B410" s="2">
        <v>77</v>
      </c>
      <c r="C410" s="3" t="str">
        <f>"011571002"</f>
        <v>011571002</v>
      </c>
      <c r="D410" s="3" t="s">
        <v>1005</v>
      </c>
      <c r="E410" s="3" t="s">
        <v>1006</v>
      </c>
      <c r="F410" s="3" t="s">
        <v>1007</v>
      </c>
      <c r="G410" s="3">
        <v>316.32</v>
      </c>
    </row>
    <row r="411" spans="1:7" x14ac:dyDescent="0.25">
      <c r="A411" s="1" t="s">
        <v>3169</v>
      </c>
      <c r="B411" s="2">
        <v>77</v>
      </c>
      <c r="C411" s="3" t="str">
        <f>"011571107"</f>
        <v>011571107</v>
      </c>
      <c r="D411" s="3" t="s">
        <v>1008</v>
      </c>
      <c r="E411" s="3"/>
      <c r="F411" s="3" t="s">
        <v>1009</v>
      </c>
      <c r="G411" s="3">
        <v>2432.98</v>
      </c>
    </row>
    <row r="412" spans="1:7" x14ac:dyDescent="0.25">
      <c r="A412" s="1" t="s">
        <v>3169</v>
      </c>
      <c r="B412" s="2">
        <v>77</v>
      </c>
      <c r="C412" s="3" t="str">
        <f>"011572401"</f>
        <v>011572401</v>
      </c>
      <c r="D412" s="3" t="s">
        <v>1010</v>
      </c>
      <c r="E412" s="3" t="s">
        <v>1011</v>
      </c>
      <c r="F412" s="3" t="s">
        <v>1012</v>
      </c>
      <c r="G412" s="3">
        <v>2400.27</v>
      </c>
    </row>
    <row r="413" spans="1:7" x14ac:dyDescent="0.25">
      <c r="A413" s="1" t="s">
        <v>3169</v>
      </c>
      <c r="B413" s="2">
        <v>77</v>
      </c>
      <c r="C413" s="3" t="str">
        <f>"011572755"</f>
        <v>011572755</v>
      </c>
      <c r="D413" s="3" t="s">
        <v>175</v>
      </c>
      <c r="E413" s="3"/>
      <c r="F413" s="3" t="s">
        <v>1013</v>
      </c>
      <c r="G413" s="3">
        <v>1107.98</v>
      </c>
    </row>
    <row r="414" spans="1:7" x14ac:dyDescent="0.25">
      <c r="A414" s="1" t="s">
        <v>3169</v>
      </c>
      <c r="B414" s="2">
        <v>77</v>
      </c>
      <c r="C414" s="3" t="str">
        <f>"011572919"</f>
        <v>011572919</v>
      </c>
      <c r="D414" s="3" t="s">
        <v>1014</v>
      </c>
      <c r="E414" s="3"/>
      <c r="F414" s="3" t="s">
        <v>1015</v>
      </c>
      <c r="G414" s="3">
        <v>73.180000000000007</v>
      </c>
    </row>
    <row r="415" spans="1:7" x14ac:dyDescent="0.25">
      <c r="A415" s="1" t="s">
        <v>3169</v>
      </c>
      <c r="B415" s="2">
        <v>77</v>
      </c>
      <c r="C415" s="3" t="str">
        <f>"011573097"</f>
        <v>011573097</v>
      </c>
      <c r="D415" s="3" t="s">
        <v>1016</v>
      </c>
      <c r="E415" s="3" t="s">
        <v>1017</v>
      </c>
      <c r="F415" s="3" t="s">
        <v>1018</v>
      </c>
      <c r="G415" s="3">
        <v>2269.6799999999998</v>
      </c>
    </row>
    <row r="416" spans="1:7" x14ac:dyDescent="0.25">
      <c r="A416" s="1" t="s">
        <v>3169</v>
      </c>
      <c r="B416" s="2">
        <v>77</v>
      </c>
      <c r="C416" s="3" t="str">
        <f>"011573181"</f>
        <v>011573181</v>
      </c>
      <c r="D416" s="3" t="s">
        <v>1019</v>
      </c>
      <c r="E416" s="3" t="s">
        <v>1020</v>
      </c>
      <c r="F416" s="3" t="s">
        <v>1021</v>
      </c>
      <c r="G416" s="3">
        <v>4158.22</v>
      </c>
    </row>
    <row r="417" spans="1:7" x14ac:dyDescent="0.25">
      <c r="A417" s="1" t="s">
        <v>3169</v>
      </c>
      <c r="B417" s="2">
        <v>77</v>
      </c>
      <c r="C417" s="3" t="str">
        <f>"011573525"</f>
        <v>011573525</v>
      </c>
      <c r="D417" s="3" t="s">
        <v>1022</v>
      </c>
      <c r="E417" s="3" t="s">
        <v>1023</v>
      </c>
      <c r="F417" s="3" t="s">
        <v>1024</v>
      </c>
      <c r="G417" s="3">
        <v>5445.22</v>
      </c>
    </row>
    <row r="418" spans="1:7" x14ac:dyDescent="0.25">
      <c r="A418" s="1" t="s">
        <v>3169</v>
      </c>
      <c r="B418" s="2">
        <v>77</v>
      </c>
      <c r="C418" s="3" t="str">
        <f>"011574046"</f>
        <v>011574046</v>
      </c>
      <c r="D418" s="3" t="s">
        <v>1025</v>
      </c>
      <c r="E418" s="3" t="s">
        <v>1026</v>
      </c>
      <c r="F418" s="3" t="s">
        <v>1027</v>
      </c>
      <c r="G418" s="3">
        <v>3988.9</v>
      </c>
    </row>
    <row r="419" spans="1:7" x14ac:dyDescent="0.25">
      <c r="A419" s="1" t="s">
        <v>3169</v>
      </c>
      <c r="B419" s="2">
        <v>77</v>
      </c>
      <c r="C419" s="3" t="str">
        <f>"011574490"</f>
        <v>011574490</v>
      </c>
      <c r="D419" s="3" t="s">
        <v>1028</v>
      </c>
      <c r="E419" s="3" t="s">
        <v>1029</v>
      </c>
      <c r="F419" s="3" t="s">
        <v>1030</v>
      </c>
      <c r="G419" s="3">
        <v>5597.58</v>
      </c>
    </row>
    <row r="420" spans="1:7" x14ac:dyDescent="0.25">
      <c r="A420" s="1" t="s">
        <v>3169</v>
      </c>
      <c r="B420" s="2">
        <v>77</v>
      </c>
      <c r="C420" s="3" t="str">
        <f>"011574497"</f>
        <v>011574497</v>
      </c>
      <c r="D420" s="3" t="s">
        <v>1031</v>
      </c>
      <c r="E420" s="3" t="s">
        <v>1032</v>
      </c>
      <c r="F420" s="3" t="s">
        <v>1033</v>
      </c>
      <c r="G420" s="3">
        <v>3025.52</v>
      </c>
    </row>
    <row r="421" spans="1:7" x14ac:dyDescent="0.25">
      <c r="A421" s="1" t="s">
        <v>3169</v>
      </c>
      <c r="B421" s="2">
        <v>77</v>
      </c>
      <c r="C421" s="3" t="str">
        <f>"011574754"</f>
        <v>011574754</v>
      </c>
      <c r="D421" s="3" t="s">
        <v>1034</v>
      </c>
      <c r="E421" s="3" t="s">
        <v>1035</v>
      </c>
      <c r="F421" s="3" t="s">
        <v>1036</v>
      </c>
      <c r="G421" s="3">
        <v>3733.42</v>
      </c>
    </row>
    <row r="422" spans="1:7" x14ac:dyDescent="0.25">
      <c r="A422" s="1" t="s">
        <v>3169</v>
      </c>
      <c r="B422" s="2">
        <v>77</v>
      </c>
      <c r="C422" s="3" t="str">
        <f>"011574766"</f>
        <v>011574766</v>
      </c>
      <c r="D422" s="3" t="s">
        <v>1034</v>
      </c>
      <c r="E422" s="3"/>
      <c r="F422" s="3" t="s">
        <v>1037</v>
      </c>
      <c r="G422" s="3">
        <v>534.29999999999995</v>
      </c>
    </row>
    <row r="423" spans="1:7" x14ac:dyDescent="0.25">
      <c r="A423" s="1" t="s">
        <v>3169</v>
      </c>
      <c r="B423" s="2">
        <v>77</v>
      </c>
      <c r="C423" s="3" t="str">
        <f>"011574915"</f>
        <v>011574915</v>
      </c>
      <c r="D423" s="3" t="s">
        <v>1038</v>
      </c>
      <c r="E423" s="3"/>
      <c r="F423" s="3" t="s">
        <v>1039</v>
      </c>
      <c r="G423" s="3">
        <v>10.74</v>
      </c>
    </row>
    <row r="424" spans="1:7" x14ac:dyDescent="0.25">
      <c r="A424" s="1" t="s">
        <v>3169</v>
      </c>
      <c r="B424" s="2">
        <v>77</v>
      </c>
      <c r="C424" s="3" t="str">
        <f>"011575198"</f>
        <v>011575198</v>
      </c>
      <c r="D424" s="3" t="s">
        <v>1040</v>
      </c>
      <c r="E424" s="3"/>
      <c r="F424" s="3" t="s">
        <v>1041</v>
      </c>
      <c r="G424" s="3">
        <v>5.98</v>
      </c>
    </row>
    <row r="425" spans="1:7" x14ac:dyDescent="0.25">
      <c r="A425" s="1" t="s">
        <v>3169</v>
      </c>
      <c r="B425" s="2">
        <v>77</v>
      </c>
      <c r="C425" s="3" t="str">
        <f>"011575666"</f>
        <v>011575666</v>
      </c>
      <c r="D425" s="3" t="s">
        <v>1042</v>
      </c>
      <c r="E425" s="3"/>
      <c r="F425" s="3" t="s">
        <v>1043</v>
      </c>
      <c r="G425" s="3">
        <v>6.44</v>
      </c>
    </row>
    <row r="426" spans="1:7" x14ac:dyDescent="0.25">
      <c r="A426" s="1" t="s">
        <v>3169</v>
      </c>
      <c r="B426" s="2">
        <v>77</v>
      </c>
      <c r="C426" s="3" t="str">
        <f>"011575693"</f>
        <v>011575693</v>
      </c>
      <c r="D426" s="3" t="s">
        <v>1044</v>
      </c>
      <c r="E426" s="3" t="s">
        <v>1045</v>
      </c>
      <c r="F426" s="3" t="s">
        <v>1046</v>
      </c>
      <c r="G426" s="3">
        <v>54056.639999999999</v>
      </c>
    </row>
    <row r="427" spans="1:7" x14ac:dyDescent="0.25">
      <c r="A427" s="1" t="s">
        <v>3169</v>
      </c>
      <c r="B427" s="2">
        <v>77</v>
      </c>
      <c r="C427" s="3" t="str">
        <f>"011576167"</f>
        <v>011576167</v>
      </c>
      <c r="D427" s="3" t="s">
        <v>1047</v>
      </c>
      <c r="E427" s="3" t="s">
        <v>1048</v>
      </c>
      <c r="F427" s="3" t="s">
        <v>1049</v>
      </c>
      <c r="G427" s="3">
        <v>6609.78</v>
      </c>
    </row>
    <row r="428" spans="1:7" x14ac:dyDescent="0.25">
      <c r="A428" s="1" t="s">
        <v>3169</v>
      </c>
      <c r="B428" s="2">
        <v>77</v>
      </c>
      <c r="C428" s="3" t="str">
        <f>"011576354"</f>
        <v>011576354</v>
      </c>
      <c r="D428" s="3" t="s">
        <v>1050</v>
      </c>
      <c r="E428" s="3" t="s">
        <v>1051</v>
      </c>
      <c r="F428" s="3" t="s">
        <v>1052</v>
      </c>
      <c r="G428" s="3">
        <v>4137.6400000000003</v>
      </c>
    </row>
    <row r="429" spans="1:7" x14ac:dyDescent="0.25">
      <c r="A429" s="1" t="s">
        <v>3169</v>
      </c>
      <c r="B429" s="2">
        <v>77</v>
      </c>
      <c r="C429" s="3" t="str">
        <f>"011576408"</f>
        <v>011576408</v>
      </c>
      <c r="D429" s="3" t="s">
        <v>1053</v>
      </c>
      <c r="E429" s="3" t="s">
        <v>1054</v>
      </c>
      <c r="F429" s="3" t="s">
        <v>1055</v>
      </c>
      <c r="G429" s="3">
        <v>6148.96</v>
      </c>
    </row>
    <row r="430" spans="1:7" x14ac:dyDescent="0.25">
      <c r="A430" s="1" t="s">
        <v>3169</v>
      </c>
      <c r="B430" s="2">
        <v>77</v>
      </c>
      <c r="C430" s="3" t="str">
        <f>"011576587"</f>
        <v>011576587</v>
      </c>
      <c r="D430" s="3" t="s">
        <v>1056</v>
      </c>
      <c r="E430" s="3"/>
      <c r="F430" s="3" t="s">
        <v>1057</v>
      </c>
      <c r="G430" s="3">
        <v>432.82</v>
      </c>
    </row>
    <row r="431" spans="1:7" x14ac:dyDescent="0.25">
      <c r="A431" s="1" t="s">
        <v>3169</v>
      </c>
      <c r="B431" s="2">
        <v>77</v>
      </c>
      <c r="C431" s="3" t="str">
        <f>"011576596"</f>
        <v>011576596</v>
      </c>
      <c r="D431" s="3" t="s">
        <v>1058</v>
      </c>
      <c r="E431" s="3" t="s">
        <v>1059</v>
      </c>
      <c r="F431" s="3" t="s">
        <v>1060</v>
      </c>
      <c r="G431" s="3">
        <v>2924.62</v>
      </c>
    </row>
    <row r="432" spans="1:7" x14ac:dyDescent="0.25">
      <c r="A432" s="1" t="s">
        <v>3169</v>
      </c>
      <c r="B432" s="2">
        <v>77</v>
      </c>
      <c r="C432" s="3" t="str">
        <f>"011576611"</f>
        <v>011576611</v>
      </c>
      <c r="D432" s="3" t="s">
        <v>1061</v>
      </c>
      <c r="E432" s="3" t="s">
        <v>1062</v>
      </c>
      <c r="F432" s="3" t="s">
        <v>1063</v>
      </c>
      <c r="G432" s="3">
        <v>2512.56</v>
      </c>
    </row>
    <row r="433" spans="1:7" x14ac:dyDescent="0.25">
      <c r="A433" s="1" t="s">
        <v>3169</v>
      </c>
      <c r="B433" s="2">
        <v>77</v>
      </c>
      <c r="C433" s="3" t="str">
        <f>"011576667"</f>
        <v>011576667</v>
      </c>
      <c r="D433" s="3" t="s">
        <v>1064</v>
      </c>
      <c r="E433" s="3"/>
      <c r="F433" s="3" t="s">
        <v>1065</v>
      </c>
      <c r="G433" s="3">
        <v>17.82</v>
      </c>
    </row>
    <row r="434" spans="1:7" x14ac:dyDescent="0.25">
      <c r="A434" s="1" t="s">
        <v>3169</v>
      </c>
      <c r="B434" s="2">
        <v>77</v>
      </c>
      <c r="C434" s="3" t="str">
        <f>"011576958"</f>
        <v>011576958</v>
      </c>
      <c r="D434" s="3" t="s">
        <v>1066</v>
      </c>
      <c r="E434" s="3" t="s">
        <v>1067</v>
      </c>
      <c r="F434" s="3" t="s">
        <v>1068</v>
      </c>
      <c r="G434" s="3">
        <v>4058.48</v>
      </c>
    </row>
    <row r="435" spans="1:7" x14ac:dyDescent="0.25">
      <c r="A435" s="1" t="s">
        <v>3169</v>
      </c>
      <c r="B435" s="2">
        <v>77</v>
      </c>
      <c r="C435" s="3" t="str">
        <f>"011577649"</f>
        <v>011577649</v>
      </c>
      <c r="D435" s="3" t="s">
        <v>1069</v>
      </c>
      <c r="E435" s="3"/>
      <c r="F435" s="3" t="s">
        <v>1070</v>
      </c>
      <c r="G435" s="3">
        <v>2.56</v>
      </c>
    </row>
    <row r="436" spans="1:7" x14ac:dyDescent="0.25">
      <c r="A436" s="1" t="s">
        <v>3169</v>
      </c>
      <c r="B436" s="2">
        <v>77</v>
      </c>
      <c r="C436" s="3" t="str">
        <f>"011577650"</f>
        <v>011577650</v>
      </c>
      <c r="D436" s="3" t="s">
        <v>1071</v>
      </c>
      <c r="E436" s="3"/>
      <c r="F436" s="3" t="s">
        <v>1072</v>
      </c>
      <c r="G436" s="3">
        <v>2.56</v>
      </c>
    </row>
    <row r="437" spans="1:7" x14ac:dyDescent="0.25">
      <c r="A437" s="1" t="s">
        <v>3169</v>
      </c>
      <c r="B437" s="2">
        <v>77</v>
      </c>
      <c r="C437" s="3" t="str">
        <f>"011577879"</f>
        <v>011577879</v>
      </c>
      <c r="D437" s="3" t="s">
        <v>1014</v>
      </c>
      <c r="E437" s="3"/>
      <c r="F437" s="3" t="s">
        <v>1073</v>
      </c>
      <c r="G437" s="3">
        <v>2.2200000000000002</v>
      </c>
    </row>
    <row r="438" spans="1:7" x14ac:dyDescent="0.25">
      <c r="A438" s="1" t="s">
        <v>3169</v>
      </c>
      <c r="B438" s="2">
        <v>77</v>
      </c>
      <c r="C438" s="3" t="str">
        <f>"011578636"</f>
        <v>011578636</v>
      </c>
      <c r="D438" s="3" t="s">
        <v>1074</v>
      </c>
      <c r="E438" s="3" t="s">
        <v>1075</v>
      </c>
      <c r="F438" s="3" t="s">
        <v>1076</v>
      </c>
      <c r="G438" s="3">
        <v>1914.33</v>
      </c>
    </row>
    <row r="439" spans="1:7" x14ac:dyDescent="0.25">
      <c r="A439" s="1" t="s">
        <v>3169</v>
      </c>
      <c r="B439" s="2">
        <v>77</v>
      </c>
      <c r="C439" s="3" t="str">
        <f>"011578819"</f>
        <v>011578819</v>
      </c>
      <c r="D439" s="3" t="s">
        <v>1077</v>
      </c>
      <c r="E439" s="3" t="s">
        <v>1078</v>
      </c>
      <c r="F439" s="3" t="s">
        <v>1079</v>
      </c>
      <c r="G439" s="3">
        <v>2220.87</v>
      </c>
    </row>
    <row r="440" spans="1:7" x14ac:dyDescent="0.25">
      <c r="A440" s="1" t="s">
        <v>3169</v>
      </c>
      <c r="B440" s="2">
        <v>77</v>
      </c>
      <c r="C440" s="3" t="str">
        <f>"011578828"</f>
        <v>011578828</v>
      </c>
      <c r="D440" s="3" t="s">
        <v>1080</v>
      </c>
      <c r="E440" s="3" t="s">
        <v>1081</v>
      </c>
      <c r="F440" s="3" t="s">
        <v>1082</v>
      </c>
      <c r="G440" s="3">
        <v>5032.46</v>
      </c>
    </row>
    <row r="441" spans="1:7" x14ac:dyDescent="0.25">
      <c r="A441" s="1" t="s">
        <v>3169</v>
      </c>
      <c r="B441" s="2">
        <v>77</v>
      </c>
      <c r="C441" s="3" t="str">
        <f>"011578856"</f>
        <v>011578856</v>
      </c>
      <c r="D441" s="3" t="s">
        <v>1083</v>
      </c>
      <c r="E441" s="3" t="s">
        <v>1084</v>
      </c>
      <c r="F441" s="3" t="s">
        <v>1085</v>
      </c>
      <c r="G441" s="3">
        <v>4509.54</v>
      </c>
    </row>
    <row r="442" spans="1:7" x14ac:dyDescent="0.25">
      <c r="A442" s="1" t="s">
        <v>3169</v>
      </c>
      <c r="B442" s="2">
        <v>77</v>
      </c>
      <c r="C442" s="3" t="str">
        <f>"011579137"</f>
        <v>011579137</v>
      </c>
      <c r="D442" s="3" t="s">
        <v>7</v>
      </c>
      <c r="E442" s="3" t="s">
        <v>1086</v>
      </c>
      <c r="F442" s="3" t="s">
        <v>1087</v>
      </c>
      <c r="G442" s="3">
        <v>4294.08</v>
      </c>
    </row>
    <row r="443" spans="1:7" x14ac:dyDescent="0.25">
      <c r="A443" s="1" t="s">
        <v>3169</v>
      </c>
      <c r="B443" s="2">
        <v>77</v>
      </c>
      <c r="C443" s="3" t="str">
        <f>"011579404"</f>
        <v>011579404</v>
      </c>
      <c r="D443" s="3" t="s">
        <v>7</v>
      </c>
      <c r="E443" s="3" t="s">
        <v>1088</v>
      </c>
      <c r="F443" s="3" t="s">
        <v>1089</v>
      </c>
      <c r="G443" s="3">
        <v>4379.5</v>
      </c>
    </row>
    <row r="444" spans="1:7" x14ac:dyDescent="0.25">
      <c r="A444" s="1" t="s">
        <v>3169</v>
      </c>
      <c r="B444" s="2">
        <v>77</v>
      </c>
      <c r="C444" s="3" t="str">
        <f>"011579603"</f>
        <v>011579603</v>
      </c>
      <c r="D444" s="3" t="s">
        <v>1090</v>
      </c>
      <c r="E444" s="3"/>
      <c r="F444" s="3" t="s">
        <v>1091</v>
      </c>
      <c r="G444" s="3">
        <v>2.02</v>
      </c>
    </row>
    <row r="445" spans="1:7" x14ac:dyDescent="0.25">
      <c r="A445" s="1" t="s">
        <v>3169</v>
      </c>
      <c r="B445" s="2">
        <v>77</v>
      </c>
      <c r="C445" s="3" t="str">
        <f>"011579604"</f>
        <v>011579604</v>
      </c>
      <c r="D445" s="3" t="s">
        <v>1090</v>
      </c>
      <c r="E445" s="3"/>
      <c r="F445" s="3" t="s">
        <v>1092</v>
      </c>
      <c r="G445" s="3">
        <v>4.8600000000000003</v>
      </c>
    </row>
    <row r="446" spans="1:7" x14ac:dyDescent="0.25">
      <c r="A446" s="1" t="s">
        <v>3169</v>
      </c>
      <c r="B446" s="2">
        <v>77</v>
      </c>
      <c r="C446" s="3" t="str">
        <f>"011580316"</f>
        <v>011580316</v>
      </c>
      <c r="D446" s="3" t="s">
        <v>1093</v>
      </c>
      <c r="E446" s="3" t="s">
        <v>1094</v>
      </c>
      <c r="F446" s="3" t="s">
        <v>1095</v>
      </c>
      <c r="G446" s="3">
        <v>2358.39</v>
      </c>
    </row>
    <row r="447" spans="1:7" x14ac:dyDescent="0.25">
      <c r="A447" s="1" t="s">
        <v>3169</v>
      </c>
      <c r="B447" s="2">
        <v>77</v>
      </c>
      <c r="C447" s="3" t="str">
        <f>"011580598"</f>
        <v>011580598</v>
      </c>
      <c r="D447" s="3" t="s">
        <v>1096</v>
      </c>
      <c r="E447" s="3" t="s">
        <v>1097</v>
      </c>
      <c r="F447" s="3" t="s">
        <v>1098</v>
      </c>
      <c r="G447" s="3">
        <v>3018.27</v>
      </c>
    </row>
    <row r="448" spans="1:7" x14ac:dyDescent="0.25">
      <c r="A448" s="1" t="s">
        <v>3169</v>
      </c>
      <c r="B448" s="2">
        <v>77</v>
      </c>
      <c r="C448" s="3" t="str">
        <f>"011581168"</f>
        <v>011581168</v>
      </c>
      <c r="D448" s="3" t="s">
        <v>1099</v>
      </c>
      <c r="E448" s="3"/>
      <c r="F448" s="3" t="s">
        <v>1100</v>
      </c>
      <c r="G448" s="3">
        <v>250.44</v>
      </c>
    </row>
    <row r="449" spans="1:7" x14ac:dyDescent="0.25">
      <c r="A449" s="1" t="s">
        <v>3169</v>
      </c>
      <c r="B449" s="2">
        <v>77</v>
      </c>
      <c r="C449" s="3" t="str">
        <f>"011581176"</f>
        <v>011581176</v>
      </c>
      <c r="D449" s="3" t="s">
        <v>1101</v>
      </c>
      <c r="E449" s="3"/>
      <c r="F449" s="3" t="s">
        <v>1102</v>
      </c>
      <c r="G449" s="3">
        <v>73.900000000000006</v>
      </c>
    </row>
    <row r="450" spans="1:7" x14ac:dyDescent="0.25">
      <c r="A450" s="1" t="s">
        <v>3169</v>
      </c>
      <c r="B450" s="2">
        <v>77</v>
      </c>
      <c r="C450" s="3" t="str">
        <f>"011581195"</f>
        <v>011581195</v>
      </c>
      <c r="D450" s="3" t="s">
        <v>1103</v>
      </c>
      <c r="E450" s="3"/>
      <c r="F450" s="3" t="s">
        <v>1104</v>
      </c>
      <c r="G450" s="3">
        <v>326.8</v>
      </c>
    </row>
    <row r="451" spans="1:7" x14ac:dyDescent="0.25">
      <c r="A451" s="1" t="s">
        <v>3169</v>
      </c>
      <c r="B451" s="2">
        <v>77</v>
      </c>
      <c r="C451" s="3" t="str">
        <f>"011581196"</f>
        <v>011581196</v>
      </c>
      <c r="D451" s="3" t="s">
        <v>1099</v>
      </c>
      <c r="E451" s="3" t="s">
        <v>1105</v>
      </c>
      <c r="F451" s="3" t="s">
        <v>1106</v>
      </c>
      <c r="G451" s="3">
        <v>1176.21</v>
      </c>
    </row>
    <row r="452" spans="1:7" x14ac:dyDescent="0.25">
      <c r="A452" s="1" t="s">
        <v>3169</v>
      </c>
      <c r="B452" s="2">
        <v>77</v>
      </c>
      <c r="C452" s="3" t="str">
        <f>"011581794"</f>
        <v>011581794</v>
      </c>
      <c r="D452" s="3" t="s">
        <v>1107</v>
      </c>
      <c r="E452" s="3" t="s">
        <v>1108</v>
      </c>
      <c r="F452" s="3" t="s">
        <v>1109</v>
      </c>
      <c r="G452" s="3">
        <v>8031.48</v>
      </c>
    </row>
    <row r="453" spans="1:7" x14ac:dyDescent="0.25">
      <c r="A453" s="1" t="s">
        <v>3169</v>
      </c>
      <c r="B453" s="2">
        <v>77</v>
      </c>
      <c r="C453" s="3" t="str">
        <f>"011582114"</f>
        <v>011582114</v>
      </c>
      <c r="D453" s="3" t="s">
        <v>1110</v>
      </c>
      <c r="E453" s="3" t="s">
        <v>1111</v>
      </c>
      <c r="F453" s="3" t="s">
        <v>1112</v>
      </c>
      <c r="G453" s="3">
        <v>2963.78</v>
      </c>
    </row>
    <row r="454" spans="1:7" x14ac:dyDescent="0.25">
      <c r="A454" s="1" t="s">
        <v>3169</v>
      </c>
      <c r="B454" s="2">
        <v>77</v>
      </c>
      <c r="C454" s="3" t="str">
        <f>"011582232"</f>
        <v>011582232</v>
      </c>
      <c r="D454" s="3" t="s">
        <v>1113</v>
      </c>
      <c r="E454" s="3"/>
      <c r="F454" s="3" t="s">
        <v>1114</v>
      </c>
      <c r="G454" s="3">
        <v>138.30000000000001</v>
      </c>
    </row>
    <row r="455" spans="1:7" x14ac:dyDescent="0.25">
      <c r="A455" s="1" t="s">
        <v>3169</v>
      </c>
      <c r="B455" s="2">
        <v>77</v>
      </c>
      <c r="C455" s="3" t="str">
        <f>"011582817"</f>
        <v>011582817</v>
      </c>
      <c r="D455" s="3" t="s">
        <v>1115</v>
      </c>
      <c r="E455" s="3"/>
      <c r="F455" s="3" t="s">
        <v>1116</v>
      </c>
      <c r="G455" s="3">
        <v>232.28</v>
      </c>
    </row>
    <row r="456" spans="1:7" x14ac:dyDescent="0.25">
      <c r="A456" s="1" t="s">
        <v>3169</v>
      </c>
      <c r="B456" s="2">
        <v>77</v>
      </c>
      <c r="C456" s="3" t="str">
        <f>"011583422"</f>
        <v>011583422</v>
      </c>
      <c r="D456" s="3" t="s">
        <v>1117</v>
      </c>
      <c r="E456" s="3" t="s">
        <v>1118</v>
      </c>
      <c r="F456" s="3" t="s">
        <v>1119</v>
      </c>
      <c r="G456" s="3">
        <v>2853.12</v>
      </c>
    </row>
    <row r="457" spans="1:7" x14ac:dyDescent="0.25">
      <c r="A457" s="1" t="s">
        <v>3169</v>
      </c>
      <c r="B457" s="2">
        <v>77</v>
      </c>
      <c r="C457" s="3" t="str">
        <f>"011584347"</f>
        <v>011584347</v>
      </c>
      <c r="D457" s="3" t="s">
        <v>1120</v>
      </c>
      <c r="E457" s="3"/>
      <c r="F457" s="3" t="s">
        <v>1121</v>
      </c>
      <c r="G457" s="3">
        <v>370.16</v>
      </c>
    </row>
    <row r="458" spans="1:7" x14ac:dyDescent="0.25">
      <c r="A458" s="1" t="s">
        <v>3169</v>
      </c>
      <c r="B458" s="2">
        <v>77</v>
      </c>
      <c r="C458" s="3" t="str">
        <f>"011585120"</f>
        <v>011585120</v>
      </c>
      <c r="D458" s="3" t="s">
        <v>1122</v>
      </c>
      <c r="E458" s="3"/>
      <c r="F458" s="3" t="s">
        <v>1123</v>
      </c>
      <c r="G458" s="3">
        <v>13.4</v>
      </c>
    </row>
    <row r="459" spans="1:7" x14ac:dyDescent="0.25">
      <c r="A459" s="1" t="s">
        <v>3169</v>
      </c>
      <c r="B459" s="2">
        <v>77</v>
      </c>
      <c r="C459" s="3" t="str">
        <f>"011585203"</f>
        <v>011585203</v>
      </c>
      <c r="D459" s="3" t="s">
        <v>1124</v>
      </c>
      <c r="E459" s="3" t="s">
        <v>1125</v>
      </c>
      <c r="F459" s="3" t="s">
        <v>1126</v>
      </c>
      <c r="G459" s="3">
        <v>5704.24</v>
      </c>
    </row>
    <row r="460" spans="1:7" x14ac:dyDescent="0.25">
      <c r="A460" s="1" t="s">
        <v>3169</v>
      </c>
      <c r="B460" s="2">
        <v>77</v>
      </c>
      <c r="C460" s="3" t="str">
        <f>"011585470"</f>
        <v>011585470</v>
      </c>
      <c r="D460" s="3" t="s">
        <v>1127</v>
      </c>
      <c r="E460" s="3" t="s">
        <v>1128</v>
      </c>
      <c r="F460" s="3" t="s">
        <v>1129</v>
      </c>
      <c r="G460" s="3">
        <v>5555.76</v>
      </c>
    </row>
    <row r="461" spans="1:7" x14ac:dyDescent="0.25">
      <c r="A461" s="1" t="s">
        <v>3169</v>
      </c>
      <c r="B461" s="2">
        <v>77</v>
      </c>
      <c r="C461" s="3" t="str">
        <f>"011586135"</f>
        <v>011586135</v>
      </c>
      <c r="D461" s="3" t="s">
        <v>1122</v>
      </c>
      <c r="E461" s="3" t="s">
        <v>1130</v>
      </c>
      <c r="F461" s="3" t="s">
        <v>1131</v>
      </c>
      <c r="G461" s="3">
        <v>21.48</v>
      </c>
    </row>
    <row r="462" spans="1:7" x14ac:dyDescent="0.25">
      <c r="A462" s="1" t="s">
        <v>3169</v>
      </c>
      <c r="B462" s="2">
        <v>77</v>
      </c>
      <c r="C462" s="3" t="str">
        <f>"011586954"</f>
        <v>011586954</v>
      </c>
      <c r="D462" s="3" t="s">
        <v>1132</v>
      </c>
      <c r="E462" s="3" t="s">
        <v>1133</v>
      </c>
      <c r="F462" s="3" t="s">
        <v>1134</v>
      </c>
      <c r="G462" s="3">
        <v>4563.3</v>
      </c>
    </row>
    <row r="463" spans="1:7" x14ac:dyDescent="0.25">
      <c r="A463" s="1" t="s">
        <v>3169</v>
      </c>
      <c r="B463" s="2">
        <v>77</v>
      </c>
      <c r="C463" s="3" t="str">
        <f>"011587232"</f>
        <v>011587232</v>
      </c>
      <c r="D463" s="3" t="s">
        <v>256</v>
      </c>
      <c r="E463" s="3" t="s">
        <v>1135</v>
      </c>
      <c r="F463" s="3" t="s">
        <v>1136</v>
      </c>
      <c r="G463" s="3">
        <v>249.18</v>
      </c>
    </row>
    <row r="464" spans="1:7" x14ac:dyDescent="0.25">
      <c r="A464" s="1" t="s">
        <v>3169</v>
      </c>
      <c r="B464" s="2">
        <v>77</v>
      </c>
      <c r="C464" s="3" t="str">
        <f>"011587233"</f>
        <v>011587233</v>
      </c>
      <c r="D464" s="3" t="s">
        <v>256</v>
      </c>
      <c r="E464" s="3" t="s">
        <v>1137</v>
      </c>
      <c r="F464" s="3" t="s">
        <v>1138</v>
      </c>
      <c r="G464" s="3">
        <v>856.41</v>
      </c>
    </row>
    <row r="465" spans="1:7" x14ac:dyDescent="0.25">
      <c r="A465" s="1" t="s">
        <v>3169</v>
      </c>
      <c r="B465" s="2">
        <v>77</v>
      </c>
      <c r="C465" s="3" t="str">
        <f>"011587262"</f>
        <v>011587262</v>
      </c>
      <c r="D465" s="3" t="s">
        <v>1139</v>
      </c>
      <c r="E465" s="3" t="s">
        <v>1140</v>
      </c>
      <c r="F465" s="3" t="s">
        <v>1141</v>
      </c>
      <c r="G465" s="3">
        <v>1042.08</v>
      </c>
    </row>
    <row r="466" spans="1:7" x14ac:dyDescent="0.25">
      <c r="A466" s="1" t="s">
        <v>3169</v>
      </c>
      <c r="B466" s="2">
        <v>77</v>
      </c>
      <c r="C466" s="3" t="str">
        <f>"011587746"</f>
        <v>011587746</v>
      </c>
      <c r="D466" s="3" t="s">
        <v>1142</v>
      </c>
      <c r="E466" s="3" t="s">
        <v>1143</v>
      </c>
      <c r="F466" s="3" t="s">
        <v>1144</v>
      </c>
      <c r="G466" s="3">
        <v>32229.58</v>
      </c>
    </row>
    <row r="467" spans="1:7" x14ac:dyDescent="0.25">
      <c r="A467" s="1" t="s">
        <v>3169</v>
      </c>
      <c r="B467" s="2">
        <v>77</v>
      </c>
      <c r="C467" s="3" t="str">
        <f>"011587862"</f>
        <v>011587862</v>
      </c>
      <c r="D467" s="3" t="s">
        <v>1145</v>
      </c>
      <c r="E467" s="3" t="s">
        <v>1146</v>
      </c>
      <c r="F467" s="3" t="s">
        <v>1147</v>
      </c>
      <c r="G467" s="3">
        <v>529.1</v>
      </c>
    </row>
    <row r="468" spans="1:7" x14ac:dyDescent="0.25">
      <c r="A468" s="1" t="s">
        <v>3169</v>
      </c>
      <c r="B468" s="2">
        <v>77</v>
      </c>
      <c r="C468" s="3" t="str">
        <f>"011587863"</f>
        <v>011587863</v>
      </c>
      <c r="D468" s="3" t="s">
        <v>1145</v>
      </c>
      <c r="E468" s="3" t="s">
        <v>1148</v>
      </c>
      <c r="F468" s="3" t="s">
        <v>1149</v>
      </c>
      <c r="G468" s="3">
        <v>529.1</v>
      </c>
    </row>
    <row r="469" spans="1:7" x14ac:dyDescent="0.25">
      <c r="A469" s="1" t="s">
        <v>3169</v>
      </c>
      <c r="B469" s="2">
        <v>77</v>
      </c>
      <c r="C469" s="3" t="str">
        <f>"011587864"</f>
        <v>011587864</v>
      </c>
      <c r="D469" s="3" t="s">
        <v>1145</v>
      </c>
      <c r="E469" s="3" t="s">
        <v>1150</v>
      </c>
      <c r="F469" s="3" t="s">
        <v>1151</v>
      </c>
      <c r="G469" s="3">
        <v>529.1</v>
      </c>
    </row>
    <row r="470" spans="1:7" x14ac:dyDescent="0.25">
      <c r="A470" s="1" t="s">
        <v>3169</v>
      </c>
      <c r="B470" s="2">
        <v>77</v>
      </c>
      <c r="C470" s="3" t="str">
        <f>"011587906"</f>
        <v>011587906</v>
      </c>
      <c r="D470" s="3" t="s">
        <v>1152</v>
      </c>
      <c r="E470" s="3"/>
      <c r="F470" s="3" t="s">
        <v>1153</v>
      </c>
      <c r="G470" s="3">
        <v>31.6</v>
      </c>
    </row>
    <row r="471" spans="1:7" x14ac:dyDescent="0.25">
      <c r="A471" s="1" t="s">
        <v>3169</v>
      </c>
      <c r="B471" s="2">
        <v>77</v>
      </c>
      <c r="C471" s="3" t="str">
        <f>"011588199"</f>
        <v>011588199</v>
      </c>
      <c r="D471" s="3" t="s">
        <v>1154</v>
      </c>
      <c r="E471" s="3"/>
      <c r="F471" s="3" t="s">
        <v>1155</v>
      </c>
      <c r="G471" s="3">
        <v>15612.52</v>
      </c>
    </row>
    <row r="472" spans="1:7" x14ac:dyDescent="0.25">
      <c r="A472" s="1" t="s">
        <v>3169</v>
      </c>
      <c r="B472" s="2">
        <v>77</v>
      </c>
      <c r="C472" s="3" t="str">
        <f>"011588214"</f>
        <v>011588214</v>
      </c>
      <c r="D472" s="3" t="s">
        <v>1156</v>
      </c>
      <c r="E472" s="3" t="s">
        <v>1157</v>
      </c>
      <c r="F472" s="3" t="s">
        <v>1158</v>
      </c>
      <c r="G472" s="3">
        <v>3027.83</v>
      </c>
    </row>
    <row r="473" spans="1:7" x14ac:dyDescent="0.25">
      <c r="A473" s="1" t="s">
        <v>3169</v>
      </c>
      <c r="B473" s="2">
        <v>77</v>
      </c>
      <c r="C473" s="3" t="str">
        <f>"011588220"</f>
        <v>011588220</v>
      </c>
      <c r="D473" s="3" t="s">
        <v>1159</v>
      </c>
      <c r="E473" s="3"/>
      <c r="F473" s="3" t="s">
        <v>1160</v>
      </c>
      <c r="G473" s="3">
        <v>21.58</v>
      </c>
    </row>
    <row r="474" spans="1:7" x14ac:dyDescent="0.25">
      <c r="A474" s="1" t="s">
        <v>3169</v>
      </c>
      <c r="B474" s="2">
        <v>77</v>
      </c>
      <c r="C474" s="3" t="str">
        <f>"011589039"</f>
        <v>011589039</v>
      </c>
      <c r="D474" s="3" t="s">
        <v>1161</v>
      </c>
      <c r="E474" s="3" t="s">
        <v>1162</v>
      </c>
      <c r="F474" s="3" t="s">
        <v>1163</v>
      </c>
      <c r="G474" s="3">
        <v>10219.879999999999</v>
      </c>
    </row>
    <row r="475" spans="1:7" x14ac:dyDescent="0.25">
      <c r="A475" s="1" t="s">
        <v>3169</v>
      </c>
      <c r="B475" s="2">
        <v>77</v>
      </c>
      <c r="C475" s="3" t="str">
        <f>"011589288"</f>
        <v>011589288</v>
      </c>
      <c r="D475" s="3" t="s">
        <v>1164</v>
      </c>
      <c r="E475" s="3"/>
      <c r="F475" s="3" t="s">
        <v>1165</v>
      </c>
      <c r="G475" s="3">
        <v>10.56</v>
      </c>
    </row>
    <row r="476" spans="1:7" x14ac:dyDescent="0.25">
      <c r="A476" s="1" t="s">
        <v>3169</v>
      </c>
      <c r="B476" s="2">
        <v>77</v>
      </c>
      <c r="C476" s="3" t="str">
        <f>"011589308"</f>
        <v>011589308</v>
      </c>
      <c r="D476" s="3" t="s">
        <v>1166</v>
      </c>
      <c r="E476" s="3"/>
      <c r="F476" s="3" t="s">
        <v>1167</v>
      </c>
      <c r="G476" s="3">
        <v>1.08</v>
      </c>
    </row>
    <row r="477" spans="1:7" x14ac:dyDescent="0.25">
      <c r="A477" s="1" t="s">
        <v>3169</v>
      </c>
      <c r="B477" s="2">
        <v>77</v>
      </c>
      <c r="C477" s="3" t="str">
        <f>"011589333"</f>
        <v>011589333</v>
      </c>
      <c r="D477" s="3" t="s">
        <v>1168</v>
      </c>
      <c r="E477" s="3"/>
      <c r="F477" s="3" t="s">
        <v>1169</v>
      </c>
      <c r="G477" s="3">
        <v>60.82</v>
      </c>
    </row>
    <row r="478" spans="1:7" x14ac:dyDescent="0.25">
      <c r="A478" s="1" t="s">
        <v>3169</v>
      </c>
      <c r="B478" s="2">
        <v>77</v>
      </c>
      <c r="C478" s="3" t="str">
        <f>"011589358"</f>
        <v>011589358</v>
      </c>
      <c r="D478" s="3" t="s">
        <v>1170</v>
      </c>
      <c r="E478" s="3" t="s">
        <v>1171</v>
      </c>
      <c r="F478" s="3" t="s">
        <v>1172</v>
      </c>
      <c r="G478" s="3">
        <v>159393.78</v>
      </c>
    </row>
    <row r="479" spans="1:7" x14ac:dyDescent="0.25">
      <c r="A479" s="1" t="s">
        <v>3169</v>
      </c>
      <c r="B479" s="2">
        <v>77</v>
      </c>
      <c r="C479" s="3" t="str">
        <f>"011589940"</f>
        <v>011589940</v>
      </c>
      <c r="D479" s="3" t="s">
        <v>1173</v>
      </c>
      <c r="E479" s="3"/>
      <c r="F479" s="3" t="s">
        <v>1174</v>
      </c>
      <c r="G479" s="3">
        <v>21.96</v>
      </c>
    </row>
    <row r="480" spans="1:7" x14ac:dyDescent="0.25">
      <c r="A480" s="1" t="s">
        <v>3169</v>
      </c>
      <c r="B480" s="2">
        <v>77</v>
      </c>
      <c r="C480" s="3" t="str">
        <f>"011590205"</f>
        <v>011590205</v>
      </c>
      <c r="D480" s="3" t="s">
        <v>1175</v>
      </c>
      <c r="E480" s="3" t="s">
        <v>1176</v>
      </c>
      <c r="F480" s="3" t="s">
        <v>1177</v>
      </c>
      <c r="G480" s="3">
        <v>4890.76</v>
      </c>
    </row>
    <row r="481" spans="1:7" x14ac:dyDescent="0.25">
      <c r="A481" s="1" t="s">
        <v>3169</v>
      </c>
      <c r="B481" s="2">
        <v>77</v>
      </c>
      <c r="C481" s="3" t="str">
        <f>"011590278"</f>
        <v>011590278</v>
      </c>
      <c r="D481" s="3" t="s">
        <v>1178</v>
      </c>
      <c r="E481" s="3"/>
      <c r="F481" s="3" t="s">
        <v>1179</v>
      </c>
      <c r="G481" s="3">
        <v>26.7</v>
      </c>
    </row>
    <row r="482" spans="1:7" x14ac:dyDescent="0.25">
      <c r="A482" s="1" t="s">
        <v>3169</v>
      </c>
      <c r="B482" s="2">
        <v>77</v>
      </c>
      <c r="C482" s="3" t="str">
        <f>"011590289"</f>
        <v>011590289</v>
      </c>
      <c r="D482" s="3" t="s">
        <v>1180</v>
      </c>
      <c r="E482" s="3"/>
      <c r="F482" s="3" t="s">
        <v>1181</v>
      </c>
      <c r="G482" s="3">
        <v>31.04</v>
      </c>
    </row>
    <row r="483" spans="1:7" x14ac:dyDescent="0.25">
      <c r="A483" s="1" t="s">
        <v>3169</v>
      </c>
      <c r="B483" s="2">
        <v>77</v>
      </c>
      <c r="C483" s="3" t="str">
        <f>"011590374"</f>
        <v>011590374</v>
      </c>
      <c r="D483" s="3" t="s">
        <v>1182</v>
      </c>
      <c r="E483" s="3" t="s">
        <v>1183</v>
      </c>
      <c r="F483" s="3" t="s">
        <v>1184</v>
      </c>
      <c r="G483" s="3">
        <v>9693.32</v>
      </c>
    </row>
    <row r="484" spans="1:7" x14ac:dyDescent="0.25">
      <c r="A484" s="1" t="s">
        <v>3169</v>
      </c>
      <c r="B484" s="2">
        <v>77</v>
      </c>
      <c r="C484" s="3" t="str">
        <f>"011590530"</f>
        <v>011590530</v>
      </c>
      <c r="D484" s="3" t="s">
        <v>1185</v>
      </c>
      <c r="E484" s="3" t="s">
        <v>1186</v>
      </c>
      <c r="F484" s="3" t="s">
        <v>1187</v>
      </c>
      <c r="G484" s="3">
        <v>6180.34</v>
      </c>
    </row>
    <row r="485" spans="1:7" x14ac:dyDescent="0.25">
      <c r="A485" s="1" t="s">
        <v>3169</v>
      </c>
      <c r="B485" s="2">
        <v>77</v>
      </c>
      <c r="C485" s="3" t="str">
        <f>"011590820"</f>
        <v>011590820</v>
      </c>
      <c r="D485" s="3" t="s">
        <v>1188</v>
      </c>
      <c r="E485" s="3" t="s">
        <v>1189</v>
      </c>
      <c r="F485" s="3" t="s">
        <v>1190</v>
      </c>
      <c r="G485" s="3">
        <v>1112.45</v>
      </c>
    </row>
    <row r="486" spans="1:7" x14ac:dyDescent="0.25">
      <c r="A486" s="1" t="s">
        <v>3169</v>
      </c>
      <c r="B486" s="2">
        <v>77</v>
      </c>
      <c r="C486" s="3" t="str">
        <f>"011590979"</f>
        <v>011590979</v>
      </c>
      <c r="D486" s="3" t="s">
        <v>1191</v>
      </c>
      <c r="E486" s="3" t="s">
        <v>1192</v>
      </c>
      <c r="F486" s="3" t="s">
        <v>1193</v>
      </c>
      <c r="G486" s="3">
        <v>25518.54</v>
      </c>
    </row>
    <row r="487" spans="1:7" x14ac:dyDescent="0.25">
      <c r="A487" s="1" t="s">
        <v>3169</v>
      </c>
      <c r="B487" s="2">
        <v>77</v>
      </c>
      <c r="C487" s="3" t="str">
        <f>"011591337"</f>
        <v>011591337</v>
      </c>
      <c r="D487" s="3" t="s">
        <v>1194</v>
      </c>
      <c r="E487" s="3" t="s">
        <v>1195</v>
      </c>
      <c r="F487" s="3" t="s">
        <v>1196</v>
      </c>
      <c r="G487" s="3">
        <v>1348.19</v>
      </c>
    </row>
    <row r="488" spans="1:7" x14ac:dyDescent="0.25">
      <c r="A488" s="1" t="s">
        <v>3169</v>
      </c>
      <c r="B488" s="2">
        <v>77</v>
      </c>
      <c r="C488" s="3" t="str">
        <f>"011591575"</f>
        <v>011591575</v>
      </c>
      <c r="D488" s="3" t="s">
        <v>963</v>
      </c>
      <c r="E488" s="3" t="s">
        <v>1197</v>
      </c>
      <c r="F488" s="3" t="s">
        <v>1198</v>
      </c>
      <c r="G488" s="3">
        <v>1310.31</v>
      </c>
    </row>
    <row r="489" spans="1:7" x14ac:dyDescent="0.25">
      <c r="A489" s="1" t="s">
        <v>3169</v>
      </c>
      <c r="B489" s="2">
        <v>77</v>
      </c>
      <c r="C489" s="3" t="str">
        <f>"011591877"</f>
        <v>011591877</v>
      </c>
      <c r="D489" s="3" t="s">
        <v>562</v>
      </c>
      <c r="E489" s="3"/>
      <c r="F489" s="3" t="s">
        <v>1199</v>
      </c>
      <c r="G489" s="3">
        <v>852.38</v>
      </c>
    </row>
    <row r="490" spans="1:7" x14ac:dyDescent="0.25">
      <c r="A490" s="1" t="s">
        <v>3169</v>
      </c>
      <c r="B490" s="2">
        <v>77</v>
      </c>
      <c r="C490" s="3" t="str">
        <f>"011591970"</f>
        <v>011591970</v>
      </c>
      <c r="D490" s="3" t="s">
        <v>1200</v>
      </c>
      <c r="E490" s="3"/>
      <c r="F490" s="3" t="s">
        <v>1201</v>
      </c>
      <c r="G490" s="3">
        <v>21.54</v>
      </c>
    </row>
    <row r="491" spans="1:7" x14ac:dyDescent="0.25">
      <c r="A491" s="1" t="s">
        <v>3169</v>
      </c>
      <c r="B491" s="2">
        <v>77</v>
      </c>
      <c r="C491" s="3" t="str">
        <f>"011591996"</f>
        <v>011591996</v>
      </c>
      <c r="D491" s="3" t="s">
        <v>1202</v>
      </c>
      <c r="E491" s="3"/>
      <c r="F491" s="3" t="s">
        <v>1203</v>
      </c>
      <c r="G491" s="3">
        <v>14028.54</v>
      </c>
    </row>
    <row r="492" spans="1:7" x14ac:dyDescent="0.25">
      <c r="A492" s="1" t="s">
        <v>3169</v>
      </c>
      <c r="B492" s="2">
        <v>77</v>
      </c>
      <c r="C492" s="3" t="str">
        <f>"011592030"</f>
        <v>011592030</v>
      </c>
      <c r="D492" s="3" t="s">
        <v>1204</v>
      </c>
      <c r="E492" s="3" t="s">
        <v>1205</v>
      </c>
      <c r="F492" s="3" t="s">
        <v>1206</v>
      </c>
      <c r="G492" s="3">
        <v>3146.94</v>
      </c>
    </row>
    <row r="493" spans="1:7" x14ac:dyDescent="0.25">
      <c r="A493" s="1" t="s">
        <v>3169</v>
      </c>
      <c r="B493" s="2">
        <v>77</v>
      </c>
      <c r="C493" s="3" t="str">
        <f>"011592554"</f>
        <v>011592554</v>
      </c>
      <c r="D493" s="3" t="s">
        <v>1207</v>
      </c>
      <c r="E493" s="3"/>
      <c r="F493" s="3" t="s">
        <v>1208</v>
      </c>
      <c r="G493" s="3">
        <v>21.86</v>
      </c>
    </row>
    <row r="494" spans="1:7" x14ac:dyDescent="0.25">
      <c r="A494" s="1" t="s">
        <v>3169</v>
      </c>
      <c r="B494" s="2">
        <v>77</v>
      </c>
      <c r="C494" s="3" t="str">
        <f>"011592956"</f>
        <v>011592956</v>
      </c>
      <c r="D494" s="3" t="s">
        <v>1209</v>
      </c>
      <c r="E494" s="3" t="s">
        <v>1210</v>
      </c>
      <c r="F494" s="3" t="s">
        <v>1211</v>
      </c>
      <c r="G494" s="3">
        <v>2111.34</v>
      </c>
    </row>
    <row r="495" spans="1:7" x14ac:dyDescent="0.25">
      <c r="A495" s="1" t="s">
        <v>3169</v>
      </c>
      <c r="B495" s="2">
        <v>77</v>
      </c>
      <c r="C495" s="3" t="str">
        <f>"011593036"</f>
        <v>011593036</v>
      </c>
      <c r="D495" s="3" t="s">
        <v>706</v>
      </c>
      <c r="E495" s="3"/>
      <c r="F495" s="3" t="s">
        <v>1212</v>
      </c>
      <c r="G495" s="3">
        <v>1086.6400000000001</v>
      </c>
    </row>
    <row r="496" spans="1:7" x14ac:dyDescent="0.25">
      <c r="A496" s="1" t="s">
        <v>3169</v>
      </c>
      <c r="B496" s="2">
        <v>77</v>
      </c>
      <c r="C496" s="3" t="str">
        <f>"011593174"</f>
        <v>011593174</v>
      </c>
      <c r="D496" s="3" t="s">
        <v>1213</v>
      </c>
      <c r="E496" s="3" t="s">
        <v>1214</v>
      </c>
      <c r="F496" s="3" t="s">
        <v>1215</v>
      </c>
      <c r="G496" s="3">
        <v>3002.15</v>
      </c>
    </row>
    <row r="497" spans="1:7" x14ac:dyDescent="0.25">
      <c r="A497" s="1" t="s">
        <v>3169</v>
      </c>
      <c r="B497" s="2">
        <v>77</v>
      </c>
      <c r="C497" s="3" t="str">
        <f>"011594618"</f>
        <v>011594618</v>
      </c>
      <c r="D497" s="3" t="s">
        <v>1216</v>
      </c>
      <c r="E497" s="3" t="s">
        <v>1217</v>
      </c>
      <c r="F497" s="3" t="s">
        <v>1218</v>
      </c>
      <c r="G497" s="3">
        <v>11330.16</v>
      </c>
    </row>
    <row r="498" spans="1:7" x14ac:dyDescent="0.25">
      <c r="A498" s="1" t="s">
        <v>3169</v>
      </c>
      <c r="B498" s="2">
        <v>77</v>
      </c>
      <c r="C498" s="3" t="str">
        <f>"011594928"</f>
        <v>011594928</v>
      </c>
      <c r="D498" s="3" t="s">
        <v>495</v>
      </c>
      <c r="E498" s="3"/>
      <c r="F498" s="3" t="s">
        <v>1219</v>
      </c>
      <c r="G498" s="3">
        <v>7493.52</v>
      </c>
    </row>
    <row r="499" spans="1:7" x14ac:dyDescent="0.25">
      <c r="A499" s="1" t="s">
        <v>3169</v>
      </c>
      <c r="B499" s="2">
        <v>77</v>
      </c>
      <c r="C499" s="3" t="str">
        <f>"011594929"</f>
        <v>011594929</v>
      </c>
      <c r="D499" s="3" t="s">
        <v>495</v>
      </c>
      <c r="E499" s="3" t="s">
        <v>1220</v>
      </c>
      <c r="F499" s="3" t="s">
        <v>1221</v>
      </c>
      <c r="G499" s="3">
        <v>6759.88</v>
      </c>
    </row>
    <row r="500" spans="1:7" x14ac:dyDescent="0.25">
      <c r="A500" s="1" t="s">
        <v>3169</v>
      </c>
      <c r="B500" s="2">
        <v>77</v>
      </c>
      <c r="C500" s="3" t="str">
        <f>"011595671"</f>
        <v>011595671</v>
      </c>
      <c r="D500" s="3" t="s">
        <v>1222</v>
      </c>
      <c r="E500" s="3" t="s">
        <v>1223</v>
      </c>
      <c r="F500" s="3" t="s">
        <v>1224</v>
      </c>
      <c r="G500" s="3">
        <v>40029.83</v>
      </c>
    </row>
    <row r="501" spans="1:7" x14ac:dyDescent="0.25">
      <c r="A501" s="1" t="s">
        <v>3169</v>
      </c>
      <c r="B501" s="2">
        <v>77</v>
      </c>
      <c r="C501" s="3" t="str">
        <f>"011595672"</f>
        <v>011595672</v>
      </c>
      <c r="D501" s="3" t="s">
        <v>1225</v>
      </c>
      <c r="E501" s="3" t="s">
        <v>1226</v>
      </c>
      <c r="F501" s="3" t="s">
        <v>1227</v>
      </c>
      <c r="G501" s="3">
        <v>10339.06</v>
      </c>
    </row>
    <row r="502" spans="1:7" x14ac:dyDescent="0.25">
      <c r="A502" s="1" t="s">
        <v>3169</v>
      </c>
      <c r="B502" s="2">
        <v>77</v>
      </c>
      <c r="C502" s="3" t="str">
        <f>"011595789"</f>
        <v>011595789</v>
      </c>
      <c r="D502" s="3" t="s">
        <v>1228</v>
      </c>
      <c r="E502" s="3" t="s">
        <v>1229</v>
      </c>
      <c r="F502" s="3" t="s">
        <v>1230</v>
      </c>
      <c r="G502" s="3">
        <v>5.66</v>
      </c>
    </row>
    <row r="503" spans="1:7" x14ac:dyDescent="0.25">
      <c r="A503" s="1" t="s">
        <v>3169</v>
      </c>
      <c r="B503" s="2">
        <v>77</v>
      </c>
      <c r="C503" s="3" t="str">
        <f>"011595802"</f>
        <v>011595802</v>
      </c>
      <c r="D503" s="3" t="s">
        <v>1231</v>
      </c>
      <c r="E503" s="3" t="s">
        <v>1232</v>
      </c>
      <c r="F503" s="3" t="s">
        <v>1233</v>
      </c>
      <c r="G503" s="3">
        <v>123784.84</v>
      </c>
    </row>
    <row r="504" spans="1:7" x14ac:dyDescent="0.25">
      <c r="A504" s="1" t="s">
        <v>3169</v>
      </c>
      <c r="B504" s="2">
        <v>77</v>
      </c>
      <c r="C504" s="3" t="str">
        <f>"011595929"</f>
        <v>011595929</v>
      </c>
      <c r="D504" s="3" t="s">
        <v>1142</v>
      </c>
      <c r="E504" s="3"/>
      <c r="F504" s="3" t="s">
        <v>1234</v>
      </c>
      <c r="G504" s="3">
        <v>1508.22</v>
      </c>
    </row>
    <row r="505" spans="1:7" x14ac:dyDescent="0.25">
      <c r="A505" s="1" t="s">
        <v>3169</v>
      </c>
      <c r="B505" s="2">
        <v>77</v>
      </c>
      <c r="C505" s="3" t="str">
        <f>"011596130"</f>
        <v>011596130</v>
      </c>
      <c r="D505" s="3" t="s">
        <v>3</v>
      </c>
      <c r="E505" s="3" t="s">
        <v>1235</v>
      </c>
      <c r="F505" s="3" t="s">
        <v>1236</v>
      </c>
      <c r="G505" s="3">
        <v>3916.54</v>
      </c>
    </row>
    <row r="506" spans="1:7" x14ac:dyDescent="0.25">
      <c r="A506" s="1" t="s">
        <v>3169</v>
      </c>
      <c r="B506" s="2">
        <v>77</v>
      </c>
      <c r="C506" s="3" t="str">
        <f>"011596542"</f>
        <v>011596542</v>
      </c>
      <c r="D506" s="3" t="s">
        <v>706</v>
      </c>
      <c r="E506" s="3" t="s">
        <v>1237</v>
      </c>
      <c r="F506" s="3" t="s">
        <v>1238</v>
      </c>
      <c r="G506" s="3">
        <v>967.28</v>
      </c>
    </row>
    <row r="507" spans="1:7" x14ac:dyDescent="0.25">
      <c r="A507" s="1" t="s">
        <v>3169</v>
      </c>
      <c r="B507" s="2">
        <v>77</v>
      </c>
      <c r="C507" s="3" t="str">
        <f>"011596543"</f>
        <v>011596543</v>
      </c>
      <c r="D507" s="3" t="s">
        <v>706</v>
      </c>
      <c r="E507" s="3" t="s">
        <v>1239</v>
      </c>
      <c r="F507" s="3" t="s">
        <v>1240</v>
      </c>
      <c r="G507" s="3">
        <v>967.28</v>
      </c>
    </row>
    <row r="508" spans="1:7" x14ac:dyDescent="0.25">
      <c r="A508" s="1" t="s">
        <v>3169</v>
      </c>
      <c r="B508" s="2">
        <v>77</v>
      </c>
      <c r="C508" s="3" t="str">
        <f>"011596545"</f>
        <v>011596545</v>
      </c>
      <c r="D508" s="3" t="s">
        <v>706</v>
      </c>
      <c r="E508" s="3" t="s">
        <v>1241</v>
      </c>
      <c r="F508" s="3" t="s">
        <v>1242</v>
      </c>
      <c r="G508" s="3">
        <v>1041.68</v>
      </c>
    </row>
    <row r="509" spans="1:7" x14ac:dyDescent="0.25">
      <c r="A509" s="1" t="s">
        <v>3169</v>
      </c>
      <c r="B509" s="2">
        <v>77</v>
      </c>
      <c r="C509" s="3" t="str">
        <f>"011596551"</f>
        <v>011596551</v>
      </c>
      <c r="D509" s="3" t="s">
        <v>706</v>
      </c>
      <c r="E509" s="3" t="s">
        <v>1243</v>
      </c>
      <c r="F509" s="3" t="s">
        <v>1244</v>
      </c>
      <c r="G509" s="3">
        <v>1041.68</v>
      </c>
    </row>
    <row r="510" spans="1:7" x14ac:dyDescent="0.25">
      <c r="A510" s="1" t="s">
        <v>3169</v>
      </c>
      <c r="B510" s="2">
        <v>77</v>
      </c>
      <c r="C510" s="3" t="str">
        <f>"011596552"</f>
        <v>011596552</v>
      </c>
      <c r="D510" s="3" t="s">
        <v>706</v>
      </c>
      <c r="E510" s="3" t="s">
        <v>1245</v>
      </c>
      <c r="F510" s="3" t="s">
        <v>1246</v>
      </c>
      <c r="G510" s="3">
        <v>1041.68</v>
      </c>
    </row>
    <row r="511" spans="1:7" x14ac:dyDescent="0.25">
      <c r="A511" s="1" t="s">
        <v>3169</v>
      </c>
      <c r="B511" s="2">
        <v>77</v>
      </c>
      <c r="C511" s="3" t="str">
        <f>"011596553"</f>
        <v>011596553</v>
      </c>
      <c r="D511" s="3" t="s">
        <v>706</v>
      </c>
      <c r="E511" s="3" t="s">
        <v>1247</v>
      </c>
      <c r="F511" s="3" t="s">
        <v>1248</v>
      </c>
      <c r="G511" s="3">
        <v>1041.68</v>
      </c>
    </row>
    <row r="512" spans="1:7" x14ac:dyDescent="0.25">
      <c r="A512" s="1" t="s">
        <v>3169</v>
      </c>
      <c r="B512" s="2">
        <v>77</v>
      </c>
      <c r="C512" s="3" t="str">
        <f>"011596554"</f>
        <v>011596554</v>
      </c>
      <c r="D512" s="3" t="s">
        <v>706</v>
      </c>
      <c r="E512" s="3" t="s">
        <v>1249</v>
      </c>
      <c r="F512" s="3" t="s">
        <v>1250</v>
      </c>
      <c r="G512" s="3">
        <v>1041.68</v>
      </c>
    </row>
    <row r="513" spans="1:7" x14ac:dyDescent="0.25">
      <c r="A513" s="1" t="s">
        <v>3169</v>
      </c>
      <c r="B513" s="2">
        <v>77</v>
      </c>
      <c r="C513" s="3" t="str">
        <f>"011596555"</f>
        <v>011596555</v>
      </c>
      <c r="D513" s="3" t="s">
        <v>706</v>
      </c>
      <c r="E513" s="3" t="s">
        <v>1251</v>
      </c>
      <c r="F513" s="3" t="s">
        <v>1252</v>
      </c>
      <c r="G513" s="3">
        <v>1041.68</v>
      </c>
    </row>
    <row r="514" spans="1:7" x14ac:dyDescent="0.25">
      <c r="A514" s="1" t="s">
        <v>3169</v>
      </c>
      <c r="B514" s="2">
        <v>77</v>
      </c>
      <c r="C514" s="3" t="str">
        <f>"011596556"</f>
        <v>011596556</v>
      </c>
      <c r="D514" s="3" t="s">
        <v>706</v>
      </c>
      <c r="E514" s="3" t="s">
        <v>1253</v>
      </c>
      <c r="F514" s="3" t="s">
        <v>1254</v>
      </c>
      <c r="G514" s="3">
        <v>1795.98</v>
      </c>
    </row>
    <row r="515" spans="1:7" x14ac:dyDescent="0.25">
      <c r="A515" s="1" t="s">
        <v>3169</v>
      </c>
      <c r="B515" s="2">
        <v>77</v>
      </c>
      <c r="C515" s="3" t="str">
        <f>"011596557"</f>
        <v>011596557</v>
      </c>
      <c r="D515" s="3" t="s">
        <v>706</v>
      </c>
      <c r="E515" s="3" t="s">
        <v>1255</v>
      </c>
      <c r="F515" s="3" t="s">
        <v>1256</v>
      </c>
      <c r="G515" s="3">
        <v>1795.98</v>
      </c>
    </row>
    <row r="516" spans="1:7" x14ac:dyDescent="0.25">
      <c r="A516" s="1" t="s">
        <v>3169</v>
      </c>
      <c r="B516" s="2">
        <v>77</v>
      </c>
      <c r="C516" s="3" t="str">
        <f>"011596558"</f>
        <v>011596558</v>
      </c>
      <c r="D516" s="3" t="s">
        <v>706</v>
      </c>
      <c r="E516" s="3" t="s">
        <v>1257</v>
      </c>
      <c r="F516" s="3" t="s">
        <v>1258</v>
      </c>
      <c r="G516" s="3">
        <v>1795.98</v>
      </c>
    </row>
    <row r="517" spans="1:7" x14ac:dyDescent="0.25">
      <c r="A517" s="1" t="s">
        <v>3169</v>
      </c>
      <c r="B517" s="2">
        <v>77</v>
      </c>
      <c r="C517" s="3" t="str">
        <f>"011596564"</f>
        <v>011596564</v>
      </c>
      <c r="D517" s="3" t="s">
        <v>706</v>
      </c>
      <c r="E517" s="3" t="s">
        <v>1259</v>
      </c>
      <c r="F517" s="3" t="s">
        <v>1260</v>
      </c>
      <c r="G517" s="3">
        <v>8900.74</v>
      </c>
    </row>
    <row r="518" spans="1:7" x14ac:dyDescent="0.25">
      <c r="A518" s="1" t="s">
        <v>3169</v>
      </c>
      <c r="B518" s="2">
        <v>77</v>
      </c>
      <c r="C518" s="3" t="str">
        <f>"011596610"</f>
        <v>011596610</v>
      </c>
      <c r="D518" s="3" t="s">
        <v>706</v>
      </c>
      <c r="E518" s="3" t="s">
        <v>1261</v>
      </c>
      <c r="F518" s="3" t="s">
        <v>1262</v>
      </c>
      <c r="G518" s="3">
        <v>10514.4</v>
      </c>
    </row>
    <row r="519" spans="1:7" x14ac:dyDescent="0.25">
      <c r="A519" s="1" t="s">
        <v>3169</v>
      </c>
      <c r="B519" s="2">
        <v>77</v>
      </c>
      <c r="C519" s="3" t="str">
        <f>"011596617"</f>
        <v>011596617</v>
      </c>
      <c r="D519" s="3" t="s">
        <v>706</v>
      </c>
      <c r="E519" s="3"/>
      <c r="F519" s="3" t="s">
        <v>1263</v>
      </c>
      <c r="G519" s="3">
        <v>104.46</v>
      </c>
    </row>
    <row r="520" spans="1:7" x14ac:dyDescent="0.25">
      <c r="A520" s="1" t="s">
        <v>3169</v>
      </c>
      <c r="B520" s="2">
        <v>77</v>
      </c>
      <c r="C520" s="3" t="str">
        <f>"011596618"</f>
        <v>011596618</v>
      </c>
      <c r="D520" s="3" t="s">
        <v>706</v>
      </c>
      <c r="E520" s="3" t="s">
        <v>1264</v>
      </c>
      <c r="F520" s="3" t="s">
        <v>1265</v>
      </c>
      <c r="G520" s="3">
        <v>104.46</v>
      </c>
    </row>
    <row r="521" spans="1:7" x14ac:dyDescent="0.25">
      <c r="A521" s="1" t="s">
        <v>3169</v>
      </c>
      <c r="B521" s="2">
        <v>77</v>
      </c>
      <c r="C521" s="3" t="str">
        <f>"011596619"</f>
        <v>011596619</v>
      </c>
      <c r="D521" s="3" t="s">
        <v>706</v>
      </c>
      <c r="E521" s="3" t="s">
        <v>1266</v>
      </c>
      <c r="F521" s="3" t="s">
        <v>1267</v>
      </c>
      <c r="G521" s="3">
        <v>104.46</v>
      </c>
    </row>
    <row r="522" spans="1:7" x14ac:dyDescent="0.25">
      <c r="A522" s="1" t="s">
        <v>3169</v>
      </c>
      <c r="B522" s="2">
        <v>77</v>
      </c>
      <c r="C522" s="3" t="str">
        <f>"011596620"</f>
        <v>011596620</v>
      </c>
      <c r="D522" s="3" t="s">
        <v>706</v>
      </c>
      <c r="E522" s="3" t="s">
        <v>1268</v>
      </c>
      <c r="F522" s="3" t="s">
        <v>1269</v>
      </c>
      <c r="G522" s="3">
        <v>104.46</v>
      </c>
    </row>
    <row r="523" spans="1:7" x14ac:dyDescent="0.25">
      <c r="A523" s="1" t="s">
        <v>3169</v>
      </c>
      <c r="B523" s="2">
        <v>77</v>
      </c>
      <c r="C523" s="3" t="str">
        <f>"011596621"</f>
        <v>011596621</v>
      </c>
      <c r="D523" s="3" t="s">
        <v>706</v>
      </c>
      <c r="E523" s="3" t="s">
        <v>1270</v>
      </c>
      <c r="F523" s="3" t="s">
        <v>1271</v>
      </c>
      <c r="G523" s="3">
        <v>104.46</v>
      </c>
    </row>
    <row r="524" spans="1:7" x14ac:dyDescent="0.25">
      <c r="A524" s="1" t="s">
        <v>3169</v>
      </c>
      <c r="B524" s="2">
        <v>77</v>
      </c>
      <c r="C524" s="3" t="str">
        <f>"011596622"</f>
        <v>011596622</v>
      </c>
      <c r="D524" s="3" t="s">
        <v>706</v>
      </c>
      <c r="E524" s="3" t="s">
        <v>1272</v>
      </c>
      <c r="F524" s="3" t="s">
        <v>1273</v>
      </c>
      <c r="G524" s="3">
        <v>104.46</v>
      </c>
    </row>
    <row r="525" spans="1:7" x14ac:dyDescent="0.25">
      <c r="A525" s="1" t="s">
        <v>3169</v>
      </c>
      <c r="B525" s="2">
        <v>77</v>
      </c>
      <c r="C525" s="3" t="str">
        <f>"011596623"</f>
        <v>011596623</v>
      </c>
      <c r="D525" s="3" t="s">
        <v>706</v>
      </c>
      <c r="E525" s="3" t="s">
        <v>1274</v>
      </c>
      <c r="F525" s="3" t="s">
        <v>1275</v>
      </c>
      <c r="G525" s="3">
        <v>104.46</v>
      </c>
    </row>
    <row r="526" spans="1:7" x14ac:dyDescent="0.25">
      <c r="A526" s="1" t="s">
        <v>3169</v>
      </c>
      <c r="B526" s="2">
        <v>77</v>
      </c>
      <c r="C526" s="3" t="str">
        <f>"011596624"</f>
        <v>011596624</v>
      </c>
      <c r="D526" s="3" t="s">
        <v>706</v>
      </c>
      <c r="E526" s="3"/>
      <c r="F526" s="3" t="s">
        <v>1276</v>
      </c>
      <c r="G526" s="3">
        <v>104.46</v>
      </c>
    </row>
    <row r="527" spans="1:7" x14ac:dyDescent="0.25">
      <c r="A527" s="1" t="s">
        <v>3169</v>
      </c>
      <c r="B527" s="2">
        <v>77</v>
      </c>
      <c r="C527" s="3" t="str">
        <f>"011596625"</f>
        <v>011596625</v>
      </c>
      <c r="D527" s="3" t="s">
        <v>706</v>
      </c>
      <c r="E527" s="3" t="s">
        <v>1277</v>
      </c>
      <c r="F527" s="3" t="s">
        <v>1278</v>
      </c>
      <c r="G527" s="3">
        <v>104.46</v>
      </c>
    </row>
    <row r="528" spans="1:7" x14ac:dyDescent="0.25">
      <c r="A528" s="1" t="s">
        <v>3169</v>
      </c>
      <c r="B528" s="2">
        <v>77</v>
      </c>
      <c r="C528" s="3" t="str">
        <f>"011596626"</f>
        <v>011596626</v>
      </c>
      <c r="D528" s="3" t="s">
        <v>706</v>
      </c>
      <c r="E528" s="3" t="s">
        <v>1279</v>
      </c>
      <c r="F528" s="3" t="s">
        <v>1280</v>
      </c>
      <c r="G528" s="3">
        <v>104.46</v>
      </c>
    </row>
    <row r="529" spans="1:7" x14ac:dyDescent="0.25">
      <c r="A529" s="1" t="s">
        <v>3169</v>
      </c>
      <c r="B529" s="2">
        <v>77</v>
      </c>
      <c r="C529" s="3" t="str">
        <f>"011596627"</f>
        <v>011596627</v>
      </c>
      <c r="D529" s="3" t="s">
        <v>706</v>
      </c>
      <c r="E529" s="3" t="s">
        <v>1281</v>
      </c>
      <c r="F529" s="3" t="s">
        <v>1282</v>
      </c>
      <c r="G529" s="3">
        <v>104.46</v>
      </c>
    </row>
    <row r="530" spans="1:7" x14ac:dyDescent="0.25">
      <c r="A530" s="1" t="s">
        <v>3169</v>
      </c>
      <c r="B530" s="2">
        <v>77</v>
      </c>
      <c r="C530" s="3" t="str">
        <f>"011596628"</f>
        <v>011596628</v>
      </c>
      <c r="D530" s="3" t="s">
        <v>706</v>
      </c>
      <c r="E530" s="3" t="s">
        <v>1283</v>
      </c>
      <c r="F530" s="3" t="s">
        <v>1284</v>
      </c>
      <c r="G530" s="3">
        <v>104.46</v>
      </c>
    </row>
    <row r="531" spans="1:7" x14ac:dyDescent="0.25">
      <c r="A531" s="1" t="s">
        <v>3169</v>
      </c>
      <c r="B531" s="2">
        <v>77</v>
      </c>
      <c r="C531" s="3" t="str">
        <f>"011596629"</f>
        <v>011596629</v>
      </c>
      <c r="D531" s="3" t="s">
        <v>706</v>
      </c>
      <c r="E531" s="3" t="s">
        <v>1285</v>
      </c>
      <c r="F531" s="3" t="s">
        <v>1286</v>
      </c>
      <c r="G531" s="3">
        <v>104.46</v>
      </c>
    </row>
    <row r="532" spans="1:7" x14ac:dyDescent="0.25">
      <c r="A532" s="1" t="s">
        <v>3169</v>
      </c>
      <c r="B532" s="2">
        <v>77</v>
      </c>
      <c r="C532" s="3" t="str">
        <f>"011596630"</f>
        <v>011596630</v>
      </c>
      <c r="D532" s="3" t="s">
        <v>706</v>
      </c>
      <c r="E532" s="3"/>
      <c r="F532" s="3" t="s">
        <v>1287</v>
      </c>
      <c r="G532" s="3">
        <v>104.46</v>
      </c>
    </row>
    <row r="533" spans="1:7" x14ac:dyDescent="0.25">
      <c r="A533" s="1" t="s">
        <v>3169</v>
      </c>
      <c r="B533" s="2">
        <v>77</v>
      </c>
      <c r="C533" s="3" t="str">
        <f>"011596631"</f>
        <v>011596631</v>
      </c>
      <c r="D533" s="3" t="s">
        <v>706</v>
      </c>
      <c r="E533" s="3" t="s">
        <v>1288</v>
      </c>
      <c r="F533" s="3" t="s">
        <v>1289</v>
      </c>
      <c r="G533" s="3">
        <v>104.46</v>
      </c>
    </row>
    <row r="534" spans="1:7" x14ac:dyDescent="0.25">
      <c r="A534" s="1" t="s">
        <v>3169</v>
      </c>
      <c r="B534" s="2">
        <v>77</v>
      </c>
      <c r="C534" s="3" t="str">
        <f>"011596632"</f>
        <v>011596632</v>
      </c>
      <c r="D534" s="3" t="s">
        <v>706</v>
      </c>
      <c r="E534" s="3" t="s">
        <v>1290</v>
      </c>
      <c r="F534" s="3" t="s">
        <v>1291</v>
      </c>
      <c r="G534" s="3">
        <v>104.46</v>
      </c>
    </row>
    <row r="535" spans="1:7" x14ac:dyDescent="0.25">
      <c r="A535" s="1" t="s">
        <v>3169</v>
      </c>
      <c r="B535" s="2">
        <v>77</v>
      </c>
      <c r="C535" s="3" t="str">
        <f>"011596635"</f>
        <v>011596635</v>
      </c>
      <c r="D535" s="3" t="s">
        <v>706</v>
      </c>
      <c r="E535" s="3"/>
      <c r="F535" s="3" t="s">
        <v>1292</v>
      </c>
      <c r="G535" s="3">
        <v>104.46</v>
      </c>
    </row>
    <row r="536" spans="1:7" x14ac:dyDescent="0.25">
      <c r="A536" s="1" t="s">
        <v>3169</v>
      </c>
      <c r="B536" s="2">
        <v>77</v>
      </c>
      <c r="C536" s="3" t="str">
        <f>"011596636"</f>
        <v>011596636</v>
      </c>
      <c r="D536" s="3" t="s">
        <v>706</v>
      </c>
      <c r="E536" s="3" t="s">
        <v>1293</v>
      </c>
      <c r="F536" s="3" t="s">
        <v>1294</v>
      </c>
      <c r="G536" s="3">
        <v>104.46</v>
      </c>
    </row>
    <row r="537" spans="1:7" x14ac:dyDescent="0.25">
      <c r="A537" s="1" t="s">
        <v>3169</v>
      </c>
      <c r="B537" s="2">
        <v>77</v>
      </c>
      <c r="C537" s="3" t="str">
        <f>"011596637"</f>
        <v>011596637</v>
      </c>
      <c r="D537" s="3" t="s">
        <v>706</v>
      </c>
      <c r="E537" s="3" t="s">
        <v>1295</v>
      </c>
      <c r="F537" s="3" t="s">
        <v>1296</v>
      </c>
      <c r="G537" s="3">
        <v>104.46</v>
      </c>
    </row>
    <row r="538" spans="1:7" x14ac:dyDescent="0.25">
      <c r="A538" s="1" t="s">
        <v>3169</v>
      </c>
      <c r="B538" s="2">
        <v>77</v>
      </c>
      <c r="C538" s="3" t="str">
        <f>"011596638"</f>
        <v>011596638</v>
      </c>
      <c r="D538" s="3" t="s">
        <v>706</v>
      </c>
      <c r="E538" s="3" t="s">
        <v>1297</v>
      </c>
      <c r="F538" s="3" t="s">
        <v>1298</v>
      </c>
      <c r="G538" s="3">
        <v>104.46</v>
      </c>
    </row>
    <row r="539" spans="1:7" x14ac:dyDescent="0.25">
      <c r="A539" s="1" t="s">
        <v>3169</v>
      </c>
      <c r="B539" s="2">
        <v>77</v>
      </c>
      <c r="C539" s="3" t="str">
        <f>"011596639"</f>
        <v>011596639</v>
      </c>
      <c r="D539" s="3" t="s">
        <v>706</v>
      </c>
      <c r="E539" s="3" t="s">
        <v>1299</v>
      </c>
      <c r="F539" s="3" t="s">
        <v>1300</v>
      </c>
      <c r="G539" s="3">
        <v>104.46</v>
      </c>
    </row>
    <row r="540" spans="1:7" x14ac:dyDescent="0.25">
      <c r="A540" s="1" t="s">
        <v>3169</v>
      </c>
      <c r="B540" s="2">
        <v>77</v>
      </c>
      <c r="C540" s="3" t="str">
        <f>"011596640"</f>
        <v>011596640</v>
      </c>
      <c r="D540" s="3" t="s">
        <v>706</v>
      </c>
      <c r="E540" s="3" t="s">
        <v>1301</v>
      </c>
      <c r="F540" s="3" t="s">
        <v>1302</v>
      </c>
      <c r="G540" s="3">
        <v>104.46</v>
      </c>
    </row>
    <row r="541" spans="1:7" x14ac:dyDescent="0.25">
      <c r="A541" s="1" t="s">
        <v>3169</v>
      </c>
      <c r="B541" s="2">
        <v>77</v>
      </c>
      <c r="C541" s="3" t="str">
        <f>"011596641"</f>
        <v>011596641</v>
      </c>
      <c r="D541" s="3" t="s">
        <v>706</v>
      </c>
      <c r="E541" s="3" t="s">
        <v>1303</v>
      </c>
      <c r="F541" s="3" t="s">
        <v>1304</v>
      </c>
      <c r="G541" s="3">
        <v>104.46</v>
      </c>
    </row>
    <row r="542" spans="1:7" x14ac:dyDescent="0.25">
      <c r="A542" s="1" t="s">
        <v>3169</v>
      </c>
      <c r="B542" s="2">
        <v>77</v>
      </c>
      <c r="C542" s="3" t="str">
        <f>"011596642"</f>
        <v>011596642</v>
      </c>
      <c r="D542" s="3" t="s">
        <v>706</v>
      </c>
      <c r="E542" s="3" t="s">
        <v>1305</v>
      </c>
      <c r="F542" s="3" t="s">
        <v>1306</v>
      </c>
      <c r="G542" s="3">
        <v>104.46</v>
      </c>
    </row>
    <row r="543" spans="1:7" x14ac:dyDescent="0.25">
      <c r="A543" s="1" t="s">
        <v>3169</v>
      </c>
      <c r="B543" s="2">
        <v>77</v>
      </c>
      <c r="C543" s="3" t="str">
        <f>"011596643"</f>
        <v>011596643</v>
      </c>
      <c r="D543" s="3" t="s">
        <v>706</v>
      </c>
      <c r="E543" s="3" t="s">
        <v>1307</v>
      </c>
      <c r="F543" s="3" t="s">
        <v>1308</v>
      </c>
      <c r="G543" s="3">
        <v>104.46</v>
      </c>
    </row>
    <row r="544" spans="1:7" x14ac:dyDescent="0.25">
      <c r="A544" s="1" t="s">
        <v>3169</v>
      </c>
      <c r="B544" s="2">
        <v>77</v>
      </c>
      <c r="C544" s="3" t="str">
        <f>"011596644"</f>
        <v>011596644</v>
      </c>
      <c r="D544" s="3" t="s">
        <v>706</v>
      </c>
      <c r="E544" s="3"/>
      <c r="F544" s="3" t="s">
        <v>1309</v>
      </c>
      <c r="G544" s="3">
        <v>104.46</v>
      </c>
    </row>
    <row r="545" spans="1:7" x14ac:dyDescent="0.25">
      <c r="A545" s="1" t="s">
        <v>3169</v>
      </c>
      <c r="B545" s="2">
        <v>77</v>
      </c>
      <c r="C545" s="3" t="str">
        <f>"011596645"</f>
        <v>011596645</v>
      </c>
      <c r="D545" s="3" t="s">
        <v>706</v>
      </c>
      <c r="E545" s="3"/>
      <c r="F545" s="3" t="s">
        <v>1310</v>
      </c>
      <c r="G545" s="3">
        <v>104.46</v>
      </c>
    </row>
    <row r="546" spans="1:7" x14ac:dyDescent="0.25">
      <c r="A546" s="1" t="s">
        <v>3169</v>
      </c>
      <c r="B546" s="2">
        <v>77</v>
      </c>
      <c r="C546" s="3" t="str">
        <f>"011596646"</f>
        <v>011596646</v>
      </c>
      <c r="D546" s="3" t="s">
        <v>706</v>
      </c>
      <c r="E546" s="3" t="s">
        <v>1311</v>
      </c>
      <c r="F546" s="3" t="s">
        <v>1312</v>
      </c>
      <c r="G546" s="3">
        <v>104.46</v>
      </c>
    </row>
    <row r="547" spans="1:7" x14ac:dyDescent="0.25">
      <c r="A547" s="1" t="s">
        <v>3169</v>
      </c>
      <c r="B547" s="2">
        <v>77</v>
      </c>
      <c r="C547" s="3" t="str">
        <f>"011596647"</f>
        <v>011596647</v>
      </c>
      <c r="D547" s="3" t="s">
        <v>706</v>
      </c>
      <c r="E547" s="3" t="s">
        <v>1313</v>
      </c>
      <c r="F547" s="3" t="s">
        <v>1314</v>
      </c>
      <c r="G547" s="3">
        <v>104.46</v>
      </c>
    </row>
    <row r="548" spans="1:7" x14ac:dyDescent="0.25">
      <c r="A548" s="1" t="s">
        <v>3169</v>
      </c>
      <c r="B548" s="2">
        <v>77</v>
      </c>
      <c r="C548" s="3" t="str">
        <f>"011596648"</f>
        <v>011596648</v>
      </c>
      <c r="D548" s="3" t="s">
        <v>706</v>
      </c>
      <c r="E548" s="3" t="s">
        <v>1315</v>
      </c>
      <c r="F548" s="3" t="s">
        <v>1316</v>
      </c>
      <c r="G548" s="3">
        <v>104.46</v>
      </c>
    </row>
    <row r="549" spans="1:7" x14ac:dyDescent="0.25">
      <c r="A549" s="1" t="s">
        <v>3169</v>
      </c>
      <c r="B549" s="2">
        <v>77</v>
      </c>
      <c r="C549" s="3" t="str">
        <f>"011596649"</f>
        <v>011596649</v>
      </c>
      <c r="D549" s="3" t="s">
        <v>706</v>
      </c>
      <c r="E549" s="3" t="s">
        <v>1317</v>
      </c>
      <c r="F549" s="3" t="s">
        <v>1318</v>
      </c>
      <c r="G549" s="3">
        <v>104.46</v>
      </c>
    </row>
    <row r="550" spans="1:7" x14ac:dyDescent="0.25">
      <c r="A550" s="1" t="s">
        <v>3169</v>
      </c>
      <c r="B550" s="2">
        <v>77</v>
      </c>
      <c r="C550" s="3" t="str">
        <f>"011596650"</f>
        <v>011596650</v>
      </c>
      <c r="D550" s="3" t="s">
        <v>706</v>
      </c>
      <c r="E550" s="3" t="s">
        <v>1319</v>
      </c>
      <c r="F550" s="3" t="s">
        <v>1320</v>
      </c>
      <c r="G550" s="3">
        <v>104.46</v>
      </c>
    </row>
    <row r="551" spans="1:7" x14ac:dyDescent="0.25">
      <c r="A551" s="1" t="s">
        <v>3169</v>
      </c>
      <c r="B551" s="2">
        <v>77</v>
      </c>
      <c r="C551" s="3" t="str">
        <f>"011596651"</f>
        <v>011596651</v>
      </c>
      <c r="D551" s="3" t="s">
        <v>706</v>
      </c>
      <c r="E551" s="3" t="s">
        <v>1321</v>
      </c>
      <c r="F551" s="3" t="s">
        <v>1322</v>
      </c>
      <c r="G551" s="3">
        <v>104.46</v>
      </c>
    </row>
    <row r="552" spans="1:7" x14ac:dyDescent="0.25">
      <c r="A552" s="1" t="s">
        <v>3169</v>
      </c>
      <c r="B552" s="2">
        <v>77</v>
      </c>
      <c r="C552" s="3" t="str">
        <f>"011596652"</f>
        <v>011596652</v>
      </c>
      <c r="D552" s="3" t="s">
        <v>706</v>
      </c>
      <c r="E552" s="3" t="s">
        <v>1323</v>
      </c>
      <c r="F552" s="3" t="s">
        <v>1324</v>
      </c>
      <c r="G552" s="3">
        <v>104.46</v>
      </c>
    </row>
    <row r="553" spans="1:7" x14ac:dyDescent="0.25">
      <c r="A553" s="1" t="s">
        <v>3169</v>
      </c>
      <c r="B553" s="2">
        <v>77</v>
      </c>
      <c r="C553" s="3" t="str">
        <f>"011596653"</f>
        <v>011596653</v>
      </c>
      <c r="D553" s="3" t="s">
        <v>706</v>
      </c>
      <c r="E553" s="3" t="s">
        <v>1325</v>
      </c>
      <c r="F553" s="3" t="s">
        <v>1326</v>
      </c>
      <c r="G553" s="3">
        <v>104.46</v>
      </c>
    </row>
    <row r="554" spans="1:7" x14ac:dyDescent="0.25">
      <c r="A554" s="1" t="s">
        <v>3169</v>
      </c>
      <c r="B554" s="2">
        <v>77</v>
      </c>
      <c r="C554" s="3" t="str">
        <f>"011596654"</f>
        <v>011596654</v>
      </c>
      <c r="D554" s="3" t="s">
        <v>706</v>
      </c>
      <c r="E554" s="3" t="s">
        <v>1327</v>
      </c>
      <c r="F554" s="3" t="s">
        <v>1328</v>
      </c>
      <c r="G554" s="3">
        <v>104.46</v>
      </c>
    </row>
    <row r="555" spans="1:7" x14ac:dyDescent="0.25">
      <c r="A555" s="1" t="s">
        <v>3169</v>
      </c>
      <c r="B555" s="2">
        <v>77</v>
      </c>
      <c r="C555" s="3" t="str">
        <f>"011596655"</f>
        <v>011596655</v>
      </c>
      <c r="D555" s="3" t="s">
        <v>706</v>
      </c>
      <c r="E555" s="3" t="s">
        <v>1329</v>
      </c>
      <c r="F555" s="3" t="s">
        <v>1330</v>
      </c>
      <c r="G555" s="3">
        <v>104.46</v>
      </c>
    </row>
    <row r="556" spans="1:7" x14ac:dyDescent="0.25">
      <c r="A556" s="1" t="s">
        <v>3169</v>
      </c>
      <c r="B556" s="2">
        <v>77</v>
      </c>
      <c r="C556" s="3" t="str">
        <f>"011596656"</f>
        <v>011596656</v>
      </c>
      <c r="D556" s="3" t="s">
        <v>706</v>
      </c>
      <c r="E556" s="3" t="s">
        <v>1331</v>
      </c>
      <c r="F556" s="3" t="s">
        <v>1332</v>
      </c>
      <c r="G556" s="3">
        <v>104.46</v>
      </c>
    </row>
    <row r="557" spans="1:7" x14ac:dyDescent="0.25">
      <c r="A557" s="1" t="s">
        <v>3169</v>
      </c>
      <c r="B557" s="2">
        <v>77</v>
      </c>
      <c r="C557" s="3" t="str">
        <f>"011596657"</f>
        <v>011596657</v>
      </c>
      <c r="D557" s="3" t="s">
        <v>706</v>
      </c>
      <c r="E557" s="3" t="s">
        <v>1333</v>
      </c>
      <c r="F557" s="3" t="s">
        <v>1334</v>
      </c>
      <c r="G557" s="3">
        <v>104.46</v>
      </c>
    </row>
    <row r="558" spans="1:7" x14ac:dyDescent="0.25">
      <c r="A558" s="1" t="s">
        <v>3169</v>
      </c>
      <c r="B558" s="2">
        <v>77</v>
      </c>
      <c r="C558" s="3" t="str">
        <f>"011596658"</f>
        <v>011596658</v>
      </c>
      <c r="D558" s="3" t="s">
        <v>706</v>
      </c>
      <c r="E558" s="3" t="s">
        <v>1335</v>
      </c>
      <c r="F558" s="3" t="s">
        <v>1336</v>
      </c>
      <c r="G558" s="3">
        <v>104.46</v>
      </c>
    </row>
    <row r="559" spans="1:7" x14ac:dyDescent="0.25">
      <c r="A559" s="1" t="s">
        <v>3169</v>
      </c>
      <c r="B559" s="2">
        <v>77</v>
      </c>
      <c r="C559" s="3" t="str">
        <f>"011596659"</f>
        <v>011596659</v>
      </c>
      <c r="D559" s="3" t="s">
        <v>706</v>
      </c>
      <c r="E559" s="3" t="s">
        <v>1337</v>
      </c>
      <c r="F559" s="3" t="s">
        <v>1338</v>
      </c>
      <c r="G559" s="3">
        <v>104.46</v>
      </c>
    </row>
    <row r="560" spans="1:7" x14ac:dyDescent="0.25">
      <c r="A560" s="1" t="s">
        <v>3169</v>
      </c>
      <c r="B560" s="2">
        <v>77</v>
      </c>
      <c r="C560" s="3" t="str">
        <f>"011596660"</f>
        <v>011596660</v>
      </c>
      <c r="D560" s="3" t="s">
        <v>706</v>
      </c>
      <c r="E560" s="3" t="s">
        <v>1339</v>
      </c>
      <c r="F560" s="3" t="s">
        <v>1340</v>
      </c>
      <c r="G560" s="3">
        <v>104.46</v>
      </c>
    </row>
    <row r="561" spans="1:7" x14ac:dyDescent="0.25">
      <c r="A561" s="1" t="s">
        <v>3169</v>
      </c>
      <c r="B561" s="2">
        <v>77</v>
      </c>
      <c r="C561" s="3" t="str">
        <f>"011596661"</f>
        <v>011596661</v>
      </c>
      <c r="D561" s="3" t="s">
        <v>706</v>
      </c>
      <c r="E561" s="3" t="s">
        <v>1341</v>
      </c>
      <c r="F561" s="3" t="s">
        <v>1342</v>
      </c>
      <c r="G561" s="3">
        <v>104.46</v>
      </c>
    </row>
    <row r="562" spans="1:7" x14ac:dyDescent="0.25">
      <c r="A562" s="1" t="s">
        <v>3169</v>
      </c>
      <c r="B562" s="2">
        <v>77</v>
      </c>
      <c r="C562" s="3" t="str">
        <f>"011596662"</f>
        <v>011596662</v>
      </c>
      <c r="D562" s="3" t="s">
        <v>706</v>
      </c>
      <c r="E562" s="3" t="s">
        <v>1343</v>
      </c>
      <c r="F562" s="3" t="s">
        <v>1344</v>
      </c>
      <c r="G562" s="3">
        <v>104.46</v>
      </c>
    </row>
    <row r="563" spans="1:7" x14ac:dyDescent="0.25">
      <c r="A563" s="1" t="s">
        <v>3169</v>
      </c>
      <c r="B563" s="2">
        <v>77</v>
      </c>
      <c r="C563" s="3" t="str">
        <f>"011596663"</f>
        <v>011596663</v>
      </c>
      <c r="D563" s="3" t="s">
        <v>706</v>
      </c>
      <c r="E563" s="3" t="s">
        <v>1345</v>
      </c>
      <c r="F563" s="3" t="s">
        <v>1346</v>
      </c>
      <c r="G563" s="3">
        <v>104.46</v>
      </c>
    </row>
    <row r="564" spans="1:7" x14ac:dyDescent="0.25">
      <c r="A564" s="1" t="s">
        <v>3169</v>
      </c>
      <c r="B564" s="2">
        <v>77</v>
      </c>
      <c r="C564" s="3" t="str">
        <f>"011596664"</f>
        <v>011596664</v>
      </c>
      <c r="D564" s="3" t="s">
        <v>706</v>
      </c>
      <c r="E564" s="3" t="s">
        <v>1347</v>
      </c>
      <c r="F564" s="3" t="s">
        <v>1348</v>
      </c>
      <c r="G564" s="3">
        <v>104.46</v>
      </c>
    </row>
    <row r="565" spans="1:7" x14ac:dyDescent="0.25">
      <c r="A565" s="1" t="s">
        <v>3169</v>
      </c>
      <c r="B565" s="2">
        <v>77</v>
      </c>
      <c r="C565" s="3" t="str">
        <f>"011596665"</f>
        <v>011596665</v>
      </c>
      <c r="D565" s="3" t="s">
        <v>706</v>
      </c>
      <c r="E565" s="3"/>
      <c r="F565" s="3" t="s">
        <v>1349</v>
      </c>
      <c r="G565" s="3">
        <v>104.46</v>
      </c>
    </row>
    <row r="566" spans="1:7" x14ac:dyDescent="0.25">
      <c r="A566" s="1" t="s">
        <v>3169</v>
      </c>
      <c r="B566" s="2">
        <v>77</v>
      </c>
      <c r="C566" s="3" t="str">
        <f>"011596666"</f>
        <v>011596666</v>
      </c>
      <c r="D566" s="3" t="s">
        <v>706</v>
      </c>
      <c r="E566" s="3"/>
      <c r="F566" s="3" t="s">
        <v>1350</v>
      </c>
      <c r="G566" s="3">
        <v>104.46</v>
      </c>
    </row>
    <row r="567" spans="1:7" x14ac:dyDescent="0.25">
      <c r="A567" s="1" t="s">
        <v>3169</v>
      </c>
      <c r="B567" s="2">
        <v>77</v>
      </c>
      <c r="C567" s="3" t="str">
        <f>"011596667"</f>
        <v>011596667</v>
      </c>
      <c r="D567" s="3" t="s">
        <v>706</v>
      </c>
      <c r="E567" s="3" t="s">
        <v>1351</v>
      </c>
      <c r="F567" s="3" t="s">
        <v>1352</v>
      </c>
      <c r="G567" s="3">
        <v>104.46</v>
      </c>
    </row>
    <row r="568" spans="1:7" x14ac:dyDescent="0.25">
      <c r="A568" s="1" t="s">
        <v>3169</v>
      </c>
      <c r="B568" s="2">
        <v>77</v>
      </c>
      <c r="C568" s="3" t="str">
        <f>"011596668"</f>
        <v>011596668</v>
      </c>
      <c r="D568" s="3" t="s">
        <v>706</v>
      </c>
      <c r="E568" s="3" t="s">
        <v>1353</v>
      </c>
      <c r="F568" s="3" t="s">
        <v>1354</v>
      </c>
      <c r="G568" s="3">
        <v>104.46</v>
      </c>
    </row>
    <row r="569" spans="1:7" x14ac:dyDescent="0.25">
      <c r="A569" s="1" t="s">
        <v>3169</v>
      </c>
      <c r="B569" s="2">
        <v>77</v>
      </c>
      <c r="C569" s="3" t="str">
        <f>"011596669"</f>
        <v>011596669</v>
      </c>
      <c r="D569" s="3" t="s">
        <v>706</v>
      </c>
      <c r="E569" s="3" t="s">
        <v>1355</v>
      </c>
      <c r="F569" s="3" t="s">
        <v>1356</v>
      </c>
      <c r="G569" s="3">
        <v>104.46</v>
      </c>
    </row>
    <row r="570" spans="1:7" x14ac:dyDescent="0.25">
      <c r="A570" s="1" t="s">
        <v>3169</v>
      </c>
      <c r="B570" s="2">
        <v>77</v>
      </c>
      <c r="C570" s="3" t="str">
        <f>"011596670"</f>
        <v>011596670</v>
      </c>
      <c r="D570" s="3" t="s">
        <v>706</v>
      </c>
      <c r="E570" s="3" t="s">
        <v>1357</v>
      </c>
      <c r="F570" s="3" t="s">
        <v>1358</v>
      </c>
      <c r="G570" s="3">
        <v>104.46</v>
      </c>
    </row>
    <row r="571" spans="1:7" x14ac:dyDescent="0.25">
      <c r="A571" s="1" t="s">
        <v>3169</v>
      </c>
      <c r="B571" s="2">
        <v>77</v>
      </c>
      <c r="C571" s="3" t="str">
        <f>"011596671"</f>
        <v>011596671</v>
      </c>
      <c r="D571" s="3" t="s">
        <v>706</v>
      </c>
      <c r="E571" s="3" t="s">
        <v>1359</v>
      </c>
      <c r="F571" s="3" t="s">
        <v>1360</v>
      </c>
      <c r="G571" s="3">
        <v>104.46</v>
      </c>
    </row>
    <row r="572" spans="1:7" x14ac:dyDescent="0.25">
      <c r="A572" s="1" t="s">
        <v>3169</v>
      </c>
      <c r="B572" s="2">
        <v>77</v>
      </c>
      <c r="C572" s="3" t="str">
        <f>"011596672"</f>
        <v>011596672</v>
      </c>
      <c r="D572" s="3" t="s">
        <v>706</v>
      </c>
      <c r="E572" s="3" t="s">
        <v>1361</v>
      </c>
      <c r="F572" s="3" t="s">
        <v>1362</v>
      </c>
      <c r="G572" s="3">
        <v>104.46</v>
      </c>
    </row>
    <row r="573" spans="1:7" x14ac:dyDescent="0.25">
      <c r="A573" s="1" t="s">
        <v>3169</v>
      </c>
      <c r="B573" s="2">
        <v>77</v>
      </c>
      <c r="C573" s="3" t="str">
        <f>"011596673"</f>
        <v>011596673</v>
      </c>
      <c r="D573" s="3" t="s">
        <v>706</v>
      </c>
      <c r="E573" s="3" t="s">
        <v>1363</v>
      </c>
      <c r="F573" s="3" t="s">
        <v>1364</v>
      </c>
      <c r="G573" s="3">
        <v>104.46</v>
      </c>
    </row>
    <row r="574" spans="1:7" x14ac:dyDescent="0.25">
      <c r="A574" s="1" t="s">
        <v>3169</v>
      </c>
      <c r="B574" s="2">
        <v>77</v>
      </c>
      <c r="C574" s="3" t="str">
        <f>"011596674"</f>
        <v>011596674</v>
      </c>
      <c r="D574" s="3" t="s">
        <v>706</v>
      </c>
      <c r="E574" s="3" t="s">
        <v>1365</v>
      </c>
      <c r="F574" s="3" t="s">
        <v>1366</v>
      </c>
      <c r="G574" s="3">
        <v>104.46</v>
      </c>
    </row>
    <row r="575" spans="1:7" x14ac:dyDescent="0.25">
      <c r="A575" s="1" t="s">
        <v>3169</v>
      </c>
      <c r="B575" s="2">
        <v>77</v>
      </c>
      <c r="C575" s="3" t="str">
        <f>"011596675"</f>
        <v>011596675</v>
      </c>
      <c r="D575" s="3" t="s">
        <v>706</v>
      </c>
      <c r="E575" s="3" t="s">
        <v>1367</v>
      </c>
      <c r="F575" s="3" t="s">
        <v>1368</v>
      </c>
      <c r="G575" s="3">
        <v>104.46</v>
      </c>
    </row>
    <row r="576" spans="1:7" x14ac:dyDescent="0.25">
      <c r="A576" s="1" t="s">
        <v>3169</v>
      </c>
      <c r="B576" s="2">
        <v>77</v>
      </c>
      <c r="C576" s="3" t="str">
        <f>"011596676"</f>
        <v>011596676</v>
      </c>
      <c r="D576" s="3" t="s">
        <v>706</v>
      </c>
      <c r="E576" s="3" t="s">
        <v>1369</v>
      </c>
      <c r="F576" s="3" t="s">
        <v>1370</v>
      </c>
      <c r="G576" s="3">
        <v>104.46</v>
      </c>
    </row>
    <row r="577" spans="1:7" x14ac:dyDescent="0.25">
      <c r="A577" s="1" t="s">
        <v>3169</v>
      </c>
      <c r="B577" s="2">
        <v>77</v>
      </c>
      <c r="C577" s="3" t="str">
        <f>"011596677"</f>
        <v>011596677</v>
      </c>
      <c r="D577" s="3" t="s">
        <v>706</v>
      </c>
      <c r="E577" s="3" t="s">
        <v>1371</v>
      </c>
      <c r="F577" s="3" t="s">
        <v>1372</v>
      </c>
      <c r="G577" s="3">
        <v>104.46</v>
      </c>
    </row>
    <row r="578" spans="1:7" x14ac:dyDescent="0.25">
      <c r="A578" s="1" t="s">
        <v>3169</v>
      </c>
      <c r="B578" s="2">
        <v>77</v>
      </c>
      <c r="C578" s="3" t="str">
        <f>"011596678"</f>
        <v>011596678</v>
      </c>
      <c r="D578" s="3" t="s">
        <v>706</v>
      </c>
      <c r="E578" s="3" t="s">
        <v>1373</v>
      </c>
      <c r="F578" s="3" t="s">
        <v>1374</v>
      </c>
      <c r="G578" s="3">
        <v>104.46</v>
      </c>
    </row>
    <row r="579" spans="1:7" x14ac:dyDescent="0.25">
      <c r="A579" s="1" t="s">
        <v>3169</v>
      </c>
      <c r="B579" s="2">
        <v>77</v>
      </c>
      <c r="C579" s="3" t="str">
        <f>"011596679"</f>
        <v>011596679</v>
      </c>
      <c r="D579" s="3" t="s">
        <v>706</v>
      </c>
      <c r="E579" s="3" t="s">
        <v>1375</v>
      </c>
      <c r="F579" s="3" t="s">
        <v>1376</v>
      </c>
      <c r="G579" s="3">
        <v>104.46</v>
      </c>
    </row>
    <row r="580" spans="1:7" x14ac:dyDescent="0.25">
      <c r="A580" s="1" t="s">
        <v>3169</v>
      </c>
      <c r="B580" s="2">
        <v>77</v>
      </c>
      <c r="C580" s="3" t="str">
        <f>"011596680"</f>
        <v>011596680</v>
      </c>
      <c r="D580" s="3" t="s">
        <v>706</v>
      </c>
      <c r="E580" s="3" t="s">
        <v>1377</v>
      </c>
      <c r="F580" s="3" t="s">
        <v>1378</v>
      </c>
      <c r="G580" s="3">
        <v>104.46</v>
      </c>
    </row>
    <row r="581" spans="1:7" x14ac:dyDescent="0.25">
      <c r="A581" s="1" t="s">
        <v>3169</v>
      </c>
      <c r="B581" s="2">
        <v>77</v>
      </c>
      <c r="C581" s="3" t="str">
        <f>"011596681"</f>
        <v>011596681</v>
      </c>
      <c r="D581" s="3" t="s">
        <v>706</v>
      </c>
      <c r="E581" s="3" t="s">
        <v>1379</v>
      </c>
      <c r="F581" s="3" t="s">
        <v>1380</v>
      </c>
      <c r="G581" s="3">
        <v>104.46</v>
      </c>
    </row>
    <row r="582" spans="1:7" x14ac:dyDescent="0.25">
      <c r="A582" s="1" t="s">
        <v>3169</v>
      </c>
      <c r="B582" s="2">
        <v>77</v>
      </c>
      <c r="C582" s="3" t="str">
        <f>"011596682"</f>
        <v>011596682</v>
      </c>
      <c r="D582" s="3" t="s">
        <v>706</v>
      </c>
      <c r="E582" s="3" t="s">
        <v>1381</v>
      </c>
      <c r="F582" s="3" t="s">
        <v>1382</v>
      </c>
      <c r="G582" s="3">
        <v>104.46</v>
      </c>
    </row>
    <row r="583" spans="1:7" x14ac:dyDescent="0.25">
      <c r="A583" s="1" t="s">
        <v>3169</v>
      </c>
      <c r="B583" s="2">
        <v>77</v>
      </c>
      <c r="C583" s="3" t="str">
        <f>"011596683"</f>
        <v>011596683</v>
      </c>
      <c r="D583" s="3" t="s">
        <v>706</v>
      </c>
      <c r="E583" s="3" t="s">
        <v>1383</v>
      </c>
      <c r="F583" s="3" t="s">
        <v>1384</v>
      </c>
      <c r="G583" s="3">
        <v>104.46</v>
      </c>
    </row>
    <row r="584" spans="1:7" x14ac:dyDescent="0.25">
      <c r="A584" s="1" t="s">
        <v>3169</v>
      </c>
      <c r="B584" s="2">
        <v>77</v>
      </c>
      <c r="C584" s="3" t="str">
        <f>"011596684"</f>
        <v>011596684</v>
      </c>
      <c r="D584" s="3" t="s">
        <v>706</v>
      </c>
      <c r="E584" s="3" t="s">
        <v>1385</v>
      </c>
      <c r="F584" s="3" t="s">
        <v>1386</v>
      </c>
      <c r="G584" s="3">
        <v>104.46</v>
      </c>
    </row>
    <row r="585" spans="1:7" x14ac:dyDescent="0.25">
      <c r="A585" s="1" t="s">
        <v>3169</v>
      </c>
      <c r="B585" s="2">
        <v>77</v>
      </c>
      <c r="C585" s="3" t="str">
        <f>"011596685"</f>
        <v>011596685</v>
      </c>
      <c r="D585" s="3" t="s">
        <v>706</v>
      </c>
      <c r="E585" s="3" t="s">
        <v>1387</v>
      </c>
      <c r="F585" s="3" t="s">
        <v>1388</v>
      </c>
      <c r="G585" s="3">
        <v>104.46</v>
      </c>
    </row>
    <row r="586" spans="1:7" x14ac:dyDescent="0.25">
      <c r="A586" s="1" t="s">
        <v>3169</v>
      </c>
      <c r="B586" s="2">
        <v>77</v>
      </c>
      <c r="C586" s="3" t="str">
        <f>"011596686"</f>
        <v>011596686</v>
      </c>
      <c r="D586" s="3" t="s">
        <v>706</v>
      </c>
      <c r="E586" s="3" t="s">
        <v>1389</v>
      </c>
      <c r="F586" s="3" t="s">
        <v>1390</v>
      </c>
      <c r="G586" s="3">
        <v>104.46</v>
      </c>
    </row>
    <row r="587" spans="1:7" x14ac:dyDescent="0.25">
      <c r="A587" s="1" t="s">
        <v>3169</v>
      </c>
      <c r="B587" s="2">
        <v>77</v>
      </c>
      <c r="C587" s="3" t="str">
        <f>"011596687"</f>
        <v>011596687</v>
      </c>
      <c r="D587" s="3" t="s">
        <v>706</v>
      </c>
      <c r="E587" s="3" t="s">
        <v>1391</v>
      </c>
      <c r="F587" s="3" t="s">
        <v>1392</v>
      </c>
      <c r="G587" s="3">
        <v>104.46</v>
      </c>
    </row>
    <row r="588" spans="1:7" x14ac:dyDescent="0.25">
      <c r="A588" s="1" t="s">
        <v>3169</v>
      </c>
      <c r="B588" s="2">
        <v>77</v>
      </c>
      <c r="C588" s="3" t="str">
        <f>"011596688"</f>
        <v>011596688</v>
      </c>
      <c r="D588" s="3" t="s">
        <v>706</v>
      </c>
      <c r="E588" s="3" t="s">
        <v>1393</v>
      </c>
      <c r="F588" s="3" t="s">
        <v>1394</v>
      </c>
      <c r="G588" s="3">
        <v>104.46</v>
      </c>
    </row>
    <row r="589" spans="1:7" x14ac:dyDescent="0.25">
      <c r="A589" s="1" t="s">
        <v>3169</v>
      </c>
      <c r="B589" s="2">
        <v>77</v>
      </c>
      <c r="C589" s="3" t="str">
        <f>"011596689"</f>
        <v>011596689</v>
      </c>
      <c r="D589" s="3" t="s">
        <v>706</v>
      </c>
      <c r="E589" s="3" t="s">
        <v>1395</v>
      </c>
      <c r="F589" s="3" t="s">
        <v>1396</v>
      </c>
      <c r="G589" s="3">
        <v>104.46</v>
      </c>
    </row>
    <row r="590" spans="1:7" x14ac:dyDescent="0.25">
      <c r="A590" s="1" t="s">
        <v>3169</v>
      </c>
      <c r="B590" s="2">
        <v>77</v>
      </c>
      <c r="C590" s="3" t="str">
        <f>"011596690"</f>
        <v>011596690</v>
      </c>
      <c r="D590" s="3" t="s">
        <v>706</v>
      </c>
      <c r="E590" s="3" t="s">
        <v>1397</v>
      </c>
      <c r="F590" s="3" t="s">
        <v>1398</v>
      </c>
      <c r="G590" s="3">
        <v>104.46</v>
      </c>
    </row>
    <row r="591" spans="1:7" x14ac:dyDescent="0.25">
      <c r="A591" s="1" t="s">
        <v>3169</v>
      </c>
      <c r="B591" s="2">
        <v>77</v>
      </c>
      <c r="C591" s="3" t="str">
        <f>"011596691"</f>
        <v>011596691</v>
      </c>
      <c r="D591" s="3" t="s">
        <v>706</v>
      </c>
      <c r="E591" s="3" t="s">
        <v>1399</v>
      </c>
      <c r="F591" s="3" t="s">
        <v>1400</v>
      </c>
      <c r="G591" s="3">
        <v>104.46</v>
      </c>
    </row>
    <row r="592" spans="1:7" x14ac:dyDescent="0.25">
      <c r="A592" s="1" t="s">
        <v>3169</v>
      </c>
      <c r="B592" s="2">
        <v>77</v>
      </c>
      <c r="C592" s="3" t="str">
        <f>"011596692"</f>
        <v>011596692</v>
      </c>
      <c r="D592" s="3" t="s">
        <v>706</v>
      </c>
      <c r="E592" s="3" t="s">
        <v>1401</v>
      </c>
      <c r="F592" s="3" t="s">
        <v>1402</v>
      </c>
      <c r="G592" s="3">
        <v>104.46</v>
      </c>
    </row>
    <row r="593" spans="1:7" x14ac:dyDescent="0.25">
      <c r="A593" s="1" t="s">
        <v>3169</v>
      </c>
      <c r="B593" s="2">
        <v>77</v>
      </c>
      <c r="C593" s="3" t="str">
        <f>"011596693"</f>
        <v>011596693</v>
      </c>
      <c r="D593" s="3" t="s">
        <v>706</v>
      </c>
      <c r="E593" s="3" t="s">
        <v>1403</v>
      </c>
      <c r="F593" s="3" t="s">
        <v>1404</v>
      </c>
      <c r="G593" s="3">
        <v>104.46</v>
      </c>
    </row>
    <row r="594" spans="1:7" x14ac:dyDescent="0.25">
      <c r="A594" s="1" t="s">
        <v>3169</v>
      </c>
      <c r="B594" s="2">
        <v>77</v>
      </c>
      <c r="C594" s="3" t="str">
        <f>"011596694"</f>
        <v>011596694</v>
      </c>
      <c r="D594" s="3" t="s">
        <v>706</v>
      </c>
      <c r="E594" s="3" t="s">
        <v>1405</v>
      </c>
      <c r="F594" s="3" t="s">
        <v>1406</v>
      </c>
      <c r="G594" s="3">
        <v>104.46</v>
      </c>
    </row>
    <row r="595" spans="1:7" x14ac:dyDescent="0.25">
      <c r="A595" s="1" t="s">
        <v>3169</v>
      </c>
      <c r="B595" s="2">
        <v>77</v>
      </c>
      <c r="C595" s="3" t="str">
        <f>"011596695"</f>
        <v>011596695</v>
      </c>
      <c r="D595" s="3" t="s">
        <v>706</v>
      </c>
      <c r="E595" s="3"/>
      <c r="F595" s="3" t="s">
        <v>1407</v>
      </c>
      <c r="G595" s="3">
        <v>13.98</v>
      </c>
    </row>
    <row r="596" spans="1:7" x14ac:dyDescent="0.25">
      <c r="A596" s="1" t="s">
        <v>3169</v>
      </c>
      <c r="B596" s="2">
        <v>77</v>
      </c>
      <c r="C596" s="3" t="str">
        <f>"011596696"</f>
        <v>011596696</v>
      </c>
      <c r="D596" s="3" t="s">
        <v>706</v>
      </c>
      <c r="E596" s="3"/>
      <c r="F596" s="3" t="s">
        <v>1408</v>
      </c>
      <c r="G596" s="3">
        <v>55.68</v>
      </c>
    </row>
    <row r="597" spans="1:7" x14ac:dyDescent="0.25">
      <c r="A597" s="1" t="s">
        <v>3169</v>
      </c>
      <c r="B597" s="2">
        <v>77</v>
      </c>
      <c r="C597" s="3" t="str">
        <f>"011596699"</f>
        <v>011596699</v>
      </c>
      <c r="D597" s="3" t="s">
        <v>706</v>
      </c>
      <c r="E597" s="3"/>
      <c r="F597" s="3" t="s">
        <v>1409</v>
      </c>
      <c r="G597" s="3">
        <v>53.5</v>
      </c>
    </row>
    <row r="598" spans="1:7" x14ac:dyDescent="0.25">
      <c r="A598" s="1" t="s">
        <v>3169</v>
      </c>
      <c r="B598" s="2">
        <v>77</v>
      </c>
      <c r="C598" s="3" t="str">
        <f>"011597025"</f>
        <v>011597025</v>
      </c>
      <c r="D598" s="3" t="s">
        <v>706</v>
      </c>
      <c r="E598" s="3"/>
      <c r="F598" s="3" t="s">
        <v>1410</v>
      </c>
      <c r="G598" s="3">
        <v>116.38</v>
      </c>
    </row>
    <row r="599" spans="1:7" x14ac:dyDescent="0.25">
      <c r="A599" s="1" t="s">
        <v>3169</v>
      </c>
      <c r="B599" s="2">
        <v>77</v>
      </c>
      <c r="C599" s="3" t="str">
        <f>"011598115"</f>
        <v>011598115</v>
      </c>
      <c r="D599" s="3" t="s">
        <v>1228</v>
      </c>
      <c r="E599" s="3"/>
      <c r="F599" s="3" t="s">
        <v>1411</v>
      </c>
      <c r="G599" s="3">
        <v>25.68</v>
      </c>
    </row>
    <row r="600" spans="1:7" x14ac:dyDescent="0.25">
      <c r="A600" s="1" t="s">
        <v>3169</v>
      </c>
      <c r="B600" s="2">
        <v>77</v>
      </c>
      <c r="C600" s="3" t="str">
        <f>"011598318"</f>
        <v>011598318</v>
      </c>
      <c r="D600" s="3" t="s">
        <v>1412</v>
      </c>
      <c r="E600" s="3"/>
      <c r="F600" s="3" t="s">
        <v>1413</v>
      </c>
      <c r="G600" s="3">
        <v>11.92</v>
      </c>
    </row>
    <row r="601" spans="1:7" x14ac:dyDescent="0.25">
      <c r="A601" s="1" t="s">
        <v>3169</v>
      </c>
      <c r="B601" s="2">
        <v>77</v>
      </c>
      <c r="C601" s="3" t="str">
        <f>"011599059"</f>
        <v>011599059</v>
      </c>
      <c r="D601" s="3" t="s">
        <v>1414</v>
      </c>
      <c r="E601" s="3"/>
      <c r="F601" s="3" t="s">
        <v>1415</v>
      </c>
      <c r="G601" s="3">
        <v>2.1</v>
      </c>
    </row>
    <row r="602" spans="1:7" x14ac:dyDescent="0.25">
      <c r="A602" s="1" t="s">
        <v>3169</v>
      </c>
      <c r="B602" s="2">
        <v>77</v>
      </c>
      <c r="C602" s="3" t="str">
        <f>"011600537"</f>
        <v>011600537</v>
      </c>
      <c r="D602" s="3" t="s">
        <v>1416</v>
      </c>
      <c r="E602" s="3"/>
      <c r="F602" s="3" t="s">
        <v>1417</v>
      </c>
      <c r="G602" s="3">
        <v>7.24</v>
      </c>
    </row>
    <row r="603" spans="1:7" x14ac:dyDescent="0.25">
      <c r="A603" s="1" t="s">
        <v>3169</v>
      </c>
      <c r="B603" s="2">
        <v>77</v>
      </c>
      <c r="C603" s="3" t="str">
        <f>"011600538"</f>
        <v>011600538</v>
      </c>
      <c r="D603" s="3" t="s">
        <v>1416</v>
      </c>
      <c r="E603" s="3"/>
      <c r="F603" s="3" t="s">
        <v>1418</v>
      </c>
      <c r="G603" s="3">
        <v>122.64</v>
      </c>
    </row>
    <row r="604" spans="1:7" x14ac:dyDescent="0.25">
      <c r="A604" s="1" t="s">
        <v>3169</v>
      </c>
      <c r="B604" s="2">
        <v>77</v>
      </c>
      <c r="C604" s="3" t="str">
        <f>"011600539"</f>
        <v>011600539</v>
      </c>
      <c r="D604" s="3" t="s">
        <v>1416</v>
      </c>
      <c r="E604" s="3"/>
      <c r="F604" s="3" t="s">
        <v>1419</v>
      </c>
      <c r="G604" s="3">
        <v>5.62</v>
      </c>
    </row>
    <row r="605" spans="1:7" x14ac:dyDescent="0.25">
      <c r="A605" s="1" t="s">
        <v>3169</v>
      </c>
      <c r="B605" s="2">
        <v>77</v>
      </c>
      <c r="C605" s="3" t="str">
        <f>"011600540"</f>
        <v>011600540</v>
      </c>
      <c r="D605" s="3" t="s">
        <v>1416</v>
      </c>
      <c r="E605" s="3"/>
      <c r="F605" s="3" t="s">
        <v>1420</v>
      </c>
      <c r="G605" s="3">
        <v>236.74</v>
      </c>
    </row>
    <row r="606" spans="1:7" x14ac:dyDescent="0.25">
      <c r="A606" s="1" t="s">
        <v>3169</v>
      </c>
      <c r="B606" s="2">
        <v>77</v>
      </c>
      <c r="C606" s="3" t="str">
        <f>"011600707"</f>
        <v>011600707</v>
      </c>
      <c r="D606" s="3" t="s">
        <v>1421</v>
      </c>
      <c r="E606" s="3" t="s">
        <v>1422</v>
      </c>
      <c r="F606" s="3" t="s">
        <v>1423</v>
      </c>
      <c r="G606" s="3">
        <v>13307.32</v>
      </c>
    </row>
    <row r="607" spans="1:7" x14ac:dyDescent="0.25">
      <c r="A607" s="1" t="s">
        <v>3169</v>
      </c>
      <c r="B607" s="2">
        <v>77</v>
      </c>
      <c r="C607" s="3" t="str">
        <f>"011601044"</f>
        <v>011601044</v>
      </c>
      <c r="D607" s="3" t="s">
        <v>1424</v>
      </c>
      <c r="E607" s="3" t="s">
        <v>1425</v>
      </c>
      <c r="F607" s="3" t="s">
        <v>1426</v>
      </c>
      <c r="G607" s="3">
        <v>6006.6</v>
      </c>
    </row>
    <row r="608" spans="1:7" x14ac:dyDescent="0.25">
      <c r="A608" s="1" t="s">
        <v>3169</v>
      </c>
      <c r="B608" s="2">
        <v>77</v>
      </c>
      <c r="C608" s="3" t="str">
        <f>"011601636"</f>
        <v>011601636</v>
      </c>
      <c r="D608" s="3" t="s">
        <v>1427</v>
      </c>
      <c r="E608" s="3" t="s">
        <v>1428</v>
      </c>
      <c r="F608" s="3" t="s">
        <v>1429</v>
      </c>
      <c r="G608" s="3">
        <v>1027.78</v>
      </c>
    </row>
    <row r="609" spans="1:7" x14ac:dyDescent="0.25">
      <c r="A609" s="1" t="s">
        <v>3169</v>
      </c>
      <c r="B609" s="2">
        <v>77</v>
      </c>
      <c r="C609" s="3" t="str">
        <f>"011601734"</f>
        <v>011601734</v>
      </c>
      <c r="D609" s="3" t="s">
        <v>1430</v>
      </c>
      <c r="E609" s="3"/>
      <c r="F609" s="3" t="s">
        <v>1431</v>
      </c>
      <c r="G609" s="3">
        <v>7.3</v>
      </c>
    </row>
    <row r="610" spans="1:7" x14ac:dyDescent="0.25">
      <c r="A610" s="1" t="s">
        <v>3169</v>
      </c>
      <c r="B610" s="2">
        <v>77</v>
      </c>
      <c r="C610" s="3" t="str">
        <f>"011601735"</f>
        <v>011601735</v>
      </c>
      <c r="D610" s="3" t="s">
        <v>1430</v>
      </c>
      <c r="E610" s="3"/>
      <c r="F610" s="3" t="s">
        <v>1432</v>
      </c>
      <c r="G610" s="3">
        <v>125.78</v>
      </c>
    </row>
    <row r="611" spans="1:7" x14ac:dyDescent="0.25">
      <c r="A611" s="1" t="s">
        <v>3169</v>
      </c>
      <c r="B611" s="2">
        <v>77</v>
      </c>
      <c r="C611" s="3" t="str">
        <f>"011601736"</f>
        <v>011601736</v>
      </c>
      <c r="D611" s="3" t="s">
        <v>1430</v>
      </c>
      <c r="E611" s="3"/>
      <c r="F611" s="3" t="s">
        <v>1433</v>
      </c>
      <c r="G611" s="3">
        <v>5.77</v>
      </c>
    </row>
    <row r="612" spans="1:7" x14ac:dyDescent="0.25">
      <c r="A612" s="1" t="s">
        <v>3169</v>
      </c>
      <c r="B612" s="2">
        <v>77</v>
      </c>
      <c r="C612" s="3" t="str">
        <f>"011601738"</f>
        <v>011601738</v>
      </c>
      <c r="D612" s="3" t="s">
        <v>1430</v>
      </c>
      <c r="E612" s="3"/>
      <c r="F612" s="3" t="s">
        <v>1434</v>
      </c>
      <c r="G612" s="3">
        <v>5.57</v>
      </c>
    </row>
    <row r="613" spans="1:7" x14ac:dyDescent="0.25">
      <c r="A613" s="1" t="s">
        <v>3169</v>
      </c>
      <c r="B613" s="2">
        <v>77</v>
      </c>
      <c r="C613" s="3" t="str">
        <f>"011602138"</f>
        <v>011602138</v>
      </c>
      <c r="D613" s="3" t="s">
        <v>205</v>
      </c>
      <c r="E613" s="3" t="s">
        <v>1435</v>
      </c>
      <c r="F613" s="3" t="s">
        <v>1436</v>
      </c>
      <c r="G613" s="3">
        <v>1831.04</v>
      </c>
    </row>
    <row r="614" spans="1:7" x14ac:dyDescent="0.25">
      <c r="A614" s="1" t="s">
        <v>3169</v>
      </c>
      <c r="B614" s="2">
        <v>77</v>
      </c>
      <c r="C614" s="3" t="str">
        <f>"011602831"</f>
        <v>011602831</v>
      </c>
      <c r="D614" s="3" t="s">
        <v>205</v>
      </c>
      <c r="E614" s="3" t="s">
        <v>1437</v>
      </c>
      <c r="F614" s="3" t="s">
        <v>1438</v>
      </c>
      <c r="G614" s="3">
        <v>2204.58</v>
      </c>
    </row>
    <row r="615" spans="1:7" x14ac:dyDescent="0.25">
      <c r="A615" s="1" t="s">
        <v>3169</v>
      </c>
      <c r="B615" s="2">
        <v>77</v>
      </c>
      <c r="C615" s="3" t="str">
        <f>"011602832"</f>
        <v>011602832</v>
      </c>
      <c r="D615" s="3" t="s">
        <v>706</v>
      </c>
      <c r="E615" s="3" t="s">
        <v>1439</v>
      </c>
      <c r="F615" s="3" t="s">
        <v>1440</v>
      </c>
      <c r="G615" s="3">
        <v>2204.58</v>
      </c>
    </row>
    <row r="616" spans="1:7" x14ac:dyDescent="0.25">
      <c r="A616" s="1" t="s">
        <v>3169</v>
      </c>
      <c r="B616" s="2">
        <v>77</v>
      </c>
      <c r="C616" s="3" t="str">
        <f>"011602833"</f>
        <v>011602833</v>
      </c>
      <c r="D616" s="3" t="s">
        <v>706</v>
      </c>
      <c r="E616" s="3" t="s">
        <v>1441</v>
      </c>
      <c r="F616" s="3" t="s">
        <v>1442</v>
      </c>
      <c r="G616" s="3">
        <v>2053.42</v>
      </c>
    </row>
    <row r="617" spans="1:7" x14ac:dyDescent="0.25">
      <c r="A617" s="1" t="s">
        <v>3169</v>
      </c>
      <c r="B617" s="2">
        <v>77</v>
      </c>
      <c r="C617" s="3" t="str">
        <f>"011602839"</f>
        <v>011602839</v>
      </c>
      <c r="D617" s="3" t="s">
        <v>205</v>
      </c>
      <c r="E617" s="3" t="s">
        <v>1443</v>
      </c>
      <c r="F617" s="3" t="s">
        <v>1444</v>
      </c>
      <c r="G617" s="3">
        <v>2204.58</v>
      </c>
    </row>
    <row r="618" spans="1:7" x14ac:dyDescent="0.25">
      <c r="A618" s="1" t="s">
        <v>3169</v>
      </c>
      <c r="B618" s="2">
        <v>77</v>
      </c>
      <c r="C618" s="3" t="str">
        <f>"011602933"</f>
        <v>011602933</v>
      </c>
      <c r="D618" s="3" t="s">
        <v>1445</v>
      </c>
      <c r="E618" s="3" t="s">
        <v>1446</v>
      </c>
      <c r="F618" s="3" t="s">
        <v>1447</v>
      </c>
      <c r="G618" s="3">
        <v>1058.3</v>
      </c>
    </row>
    <row r="619" spans="1:7" x14ac:dyDescent="0.25">
      <c r="A619" s="1" t="s">
        <v>3169</v>
      </c>
      <c r="B619" s="2">
        <v>77</v>
      </c>
      <c r="C619" s="3" t="str">
        <f>"011602977"</f>
        <v>011602977</v>
      </c>
      <c r="D619" s="3" t="s">
        <v>1445</v>
      </c>
      <c r="E619" s="3" t="s">
        <v>1448</v>
      </c>
      <c r="F619" s="3" t="s">
        <v>1449</v>
      </c>
      <c r="G619" s="3">
        <v>1116.3</v>
      </c>
    </row>
    <row r="620" spans="1:7" x14ac:dyDescent="0.25">
      <c r="A620" s="1" t="s">
        <v>3169</v>
      </c>
      <c r="B620" s="2">
        <v>77</v>
      </c>
      <c r="C620" s="3" t="str">
        <f>"011602992"</f>
        <v>011602992</v>
      </c>
      <c r="D620" s="3" t="s">
        <v>1445</v>
      </c>
      <c r="E620" s="3" t="s">
        <v>1450</v>
      </c>
      <c r="F620" s="3" t="s">
        <v>1451</v>
      </c>
      <c r="G620" s="3">
        <v>529.15</v>
      </c>
    </row>
    <row r="621" spans="1:7" x14ac:dyDescent="0.25">
      <c r="A621" s="1" t="s">
        <v>3169</v>
      </c>
      <c r="B621" s="2">
        <v>77</v>
      </c>
      <c r="C621" s="3" t="str">
        <f>"011603015"</f>
        <v>011603015</v>
      </c>
      <c r="D621" s="3" t="s">
        <v>1445</v>
      </c>
      <c r="E621" s="3" t="s">
        <v>1452</v>
      </c>
      <c r="F621" s="3" t="s">
        <v>1453</v>
      </c>
      <c r="G621" s="3">
        <v>1116.3</v>
      </c>
    </row>
    <row r="622" spans="1:7" x14ac:dyDescent="0.25">
      <c r="A622" s="1" t="s">
        <v>3169</v>
      </c>
      <c r="B622" s="2">
        <v>77</v>
      </c>
      <c r="C622" s="3" t="str">
        <f>"011603115"</f>
        <v>011603115</v>
      </c>
      <c r="D622" s="3" t="s">
        <v>1454</v>
      </c>
      <c r="E622" s="3"/>
      <c r="F622" s="3" t="s">
        <v>1455</v>
      </c>
      <c r="G622" s="3">
        <v>3251.96</v>
      </c>
    </row>
    <row r="623" spans="1:7" x14ac:dyDescent="0.25">
      <c r="A623" s="1" t="s">
        <v>3169</v>
      </c>
      <c r="B623" s="2">
        <v>77</v>
      </c>
      <c r="C623" s="3" t="str">
        <f>"011603116"</f>
        <v>011603116</v>
      </c>
      <c r="D623" s="3" t="s">
        <v>1454</v>
      </c>
      <c r="E623" s="3"/>
      <c r="F623" s="3" t="s">
        <v>1456</v>
      </c>
      <c r="G623" s="3">
        <v>1509.34</v>
      </c>
    </row>
    <row r="624" spans="1:7" x14ac:dyDescent="0.25">
      <c r="A624" s="1" t="s">
        <v>3169</v>
      </c>
      <c r="B624" s="2">
        <v>77</v>
      </c>
      <c r="C624" s="3" t="str">
        <f>"011603238"</f>
        <v>011603238</v>
      </c>
      <c r="D624" s="3" t="s">
        <v>1457</v>
      </c>
      <c r="E624" s="3" t="s">
        <v>1458</v>
      </c>
      <c r="F624" s="3" t="s">
        <v>1459</v>
      </c>
      <c r="G624" s="3">
        <v>1020.28</v>
      </c>
    </row>
    <row r="625" spans="1:7" x14ac:dyDescent="0.25">
      <c r="A625" s="1" t="s">
        <v>3169</v>
      </c>
      <c r="B625" s="2">
        <v>77</v>
      </c>
      <c r="C625" s="3" t="str">
        <f>"011603383"</f>
        <v>011603383</v>
      </c>
      <c r="D625" s="3" t="s">
        <v>1460</v>
      </c>
      <c r="E625" s="3" t="s">
        <v>1461</v>
      </c>
      <c r="F625" s="3" t="s">
        <v>1462</v>
      </c>
      <c r="G625" s="3">
        <v>1499.72</v>
      </c>
    </row>
    <row r="626" spans="1:7" x14ac:dyDescent="0.25">
      <c r="A626" s="1" t="s">
        <v>3169</v>
      </c>
      <c r="B626" s="2">
        <v>77</v>
      </c>
      <c r="C626" s="3" t="str">
        <f>"011603386"</f>
        <v>011603386</v>
      </c>
      <c r="D626" s="3" t="s">
        <v>1445</v>
      </c>
      <c r="E626" s="3" t="s">
        <v>1463</v>
      </c>
      <c r="F626" s="3" t="s">
        <v>1464</v>
      </c>
      <c r="G626" s="3">
        <v>434.92</v>
      </c>
    </row>
    <row r="627" spans="1:7" x14ac:dyDescent="0.25">
      <c r="A627" s="1" t="s">
        <v>3169</v>
      </c>
      <c r="B627" s="2">
        <v>77</v>
      </c>
      <c r="C627" s="3" t="str">
        <f>"011603998"</f>
        <v>011603998</v>
      </c>
      <c r="D627" s="3" t="s">
        <v>1465</v>
      </c>
      <c r="E627" s="3" t="s">
        <v>1466</v>
      </c>
      <c r="F627" s="3" t="s">
        <v>1467</v>
      </c>
      <c r="G627" s="3">
        <v>4834.51</v>
      </c>
    </row>
    <row r="628" spans="1:7" x14ac:dyDescent="0.25">
      <c r="A628" s="1" t="s">
        <v>3169</v>
      </c>
      <c r="B628" s="2">
        <v>77</v>
      </c>
      <c r="C628" s="3" t="str">
        <f>"011604238"</f>
        <v>011604238</v>
      </c>
      <c r="D628" s="3" t="s">
        <v>1468</v>
      </c>
      <c r="E628" s="3" t="s">
        <v>1469</v>
      </c>
      <c r="F628" s="3" t="s">
        <v>1470</v>
      </c>
      <c r="G628" s="3">
        <v>1773.36</v>
      </c>
    </row>
    <row r="629" spans="1:7" x14ac:dyDescent="0.25">
      <c r="A629" s="1" t="s">
        <v>3169</v>
      </c>
      <c r="B629" s="2">
        <v>77</v>
      </c>
      <c r="C629" s="3" t="str">
        <f>"011604305"</f>
        <v>011604305</v>
      </c>
      <c r="D629" s="3" t="s">
        <v>1471</v>
      </c>
      <c r="E629" s="3" t="s">
        <v>1472</v>
      </c>
      <c r="F629" s="3" t="s">
        <v>1473</v>
      </c>
      <c r="G629" s="3">
        <v>1870.54</v>
      </c>
    </row>
    <row r="630" spans="1:7" x14ac:dyDescent="0.25">
      <c r="A630" s="1" t="s">
        <v>3169</v>
      </c>
      <c r="B630" s="2">
        <v>77</v>
      </c>
      <c r="C630" s="3" t="str">
        <f>"011604312"</f>
        <v>011604312</v>
      </c>
      <c r="D630" s="3" t="s">
        <v>1474</v>
      </c>
      <c r="E630" s="3" t="s">
        <v>1475</v>
      </c>
      <c r="F630" s="3" t="s">
        <v>1476</v>
      </c>
      <c r="G630" s="3">
        <v>12487.46</v>
      </c>
    </row>
    <row r="631" spans="1:7" x14ac:dyDescent="0.25">
      <c r="A631" s="1" t="s">
        <v>3169</v>
      </c>
      <c r="B631" s="2">
        <v>77</v>
      </c>
      <c r="C631" s="3" t="str">
        <f>"011604458"</f>
        <v>011604458</v>
      </c>
      <c r="D631" s="3" t="s">
        <v>1477</v>
      </c>
      <c r="E631" s="3" t="s">
        <v>1478</v>
      </c>
      <c r="F631" s="3" t="s">
        <v>1479</v>
      </c>
      <c r="G631" s="3">
        <v>1007.81</v>
      </c>
    </row>
    <row r="632" spans="1:7" x14ac:dyDescent="0.25">
      <c r="A632" s="1" t="s">
        <v>3169</v>
      </c>
      <c r="B632" s="2">
        <v>77</v>
      </c>
      <c r="C632" s="3" t="str">
        <f>"011604654"</f>
        <v>011604654</v>
      </c>
      <c r="D632" s="3" t="s">
        <v>1480</v>
      </c>
      <c r="E632" s="3" t="s">
        <v>1481</v>
      </c>
      <c r="F632" s="3" t="s">
        <v>1482</v>
      </c>
      <c r="G632" s="3">
        <v>481.3</v>
      </c>
    </row>
    <row r="633" spans="1:7" x14ac:dyDescent="0.25">
      <c r="A633" s="1" t="s">
        <v>3169</v>
      </c>
      <c r="B633" s="2">
        <v>77</v>
      </c>
      <c r="C633" s="3" t="str">
        <f>"011605102"</f>
        <v>011605102</v>
      </c>
      <c r="D633" s="3" t="s">
        <v>1416</v>
      </c>
      <c r="E633" s="3"/>
      <c r="F633" s="3" t="s">
        <v>1483</v>
      </c>
      <c r="G633" s="3">
        <v>18.02</v>
      </c>
    </row>
    <row r="634" spans="1:7" x14ac:dyDescent="0.25">
      <c r="A634" s="1" t="s">
        <v>3169</v>
      </c>
      <c r="B634" s="2">
        <v>77</v>
      </c>
      <c r="C634" s="3" t="str">
        <f>"011605103"</f>
        <v>011605103</v>
      </c>
      <c r="D634" s="3" t="s">
        <v>1416</v>
      </c>
      <c r="E634" s="3"/>
      <c r="F634" s="3" t="s">
        <v>1484</v>
      </c>
      <c r="G634" s="3">
        <v>5.04</v>
      </c>
    </row>
    <row r="635" spans="1:7" x14ac:dyDescent="0.25">
      <c r="A635" s="1" t="s">
        <v>3169</v>
      </c>
      <c r="B635" s="2">
        <v>77</v>
      </c>
      <c r="C635" s="3" t="str">
        <f>"011605104"</f>
        <v>011605104</v>
      </c>
      <c r="D635" s="3" t="s">
        <v>1416</v>
      </c>
      <c r="E635" s="3"/>
      <c r="F635" s="3" t="s">
        <v>1485</v>
      </c>
      <c r="G635" s="3">
        <v>3.22</v>
      </c>
    </row>
    <row r="636" spans="1:7" x14ac:dyDescent="0.25">
      <c r="A636" s="1" t="s">
        <v>3169</v>
      </c>
      <c r="B636" s="2">
        <v>77</v>
      </c>
      <c r="C636" s="3" t="str">
        <f>"011605105"</f>
        <v>011605105</v>
      </c>
      <c r="D636" s="3" t="s">
        <v>1416</v>
      </c>
      <c r="E636" s="3"/>
      <c r="F636" s="3" t="s">
        <v>1486</v>
      </c>
      <c r="G636" s="3">
        <v>25.58</v>
      </c>
    </row>
    <row r="637" spans="1:7" x14ac:dyDescent="0.25">
      <c r="A637" s="1" t="s">
        <v>3169</v>
      </c>
      <c r="B637" s="2">
        <v>77</v>
      </c>
      <c r="C637" s="3" t="str">
        <f>"011605106"</f>
        <v>011605106</v>
      </c>
      <c r="D637" s="3" t="s">
        <v>1416</v>
      </c>
      <c r="E637" s="3"/>
      <c r="F637" s="3" t="s">
        <v>1487</v>
      </c>
      <c r="G637" s="3">
        <v>40.340000000000003</v>
      </c>
    </row>
    <row r="638" spans="1:7" x14ac:dyDescent="0.25">
      <c r="A638" s="1" t="s">
        <v>3169</v>
      </c>
      <c r="B638" s="2">
        <v>77</v>
      </c>
      <c r="C638" s="3" t="str">
        <f>"011605107"</f>
        <v>011605107</v>
      </c>
      <c r="D638" s="3" t="s">
        <v>1416</v>
      </c>
      <c r="E638" s="3"/>
      <c r="F638" s="3" t="s">
        <v>1488</v>
      </c>
      <c r="G638" s="3">
        <v>9.42</v>
      </c>
    </row>
    <row r="639" spans="1:7" x14ac:dyDescent="0.25">
      <c r="A639" s="1" t="s">
        <v>3169</v>
      </c>
      <c r="B639" s="2">
        <v>77</v>
      </c>
      <c r="C639" s="3" t="str">
        <f>"011605108"</f>
        <v>011605108</v>
      </c>
      <c r="D639" s="3" t="s">
        <v>1416</v>
      </c>
      <c r="E639" s="3"/>
      <c r="F639" s="3" t="s">
        <v>1489</v>
      </c>
      <c r="G639" s="3">
        <v>18.78</v>
      </c>
    </row>
    <row r="640" spans="1:7" x14ac:dyDescent="0.25">
      <c r="A640" s="1" t="s">
        <v>3169</v>
      </c>
      <c r="B640" s="2">
        <v>77</v>
      </c>
      <c r="C640" s="3" t="str">
        <f>"011605109"</f>
        <v>011605109</v>
      </c>
      <c r="D640" s="3" t="s">
        <v>1416</v>
      </c>
      <c r="E640" s="3"/>
      <c r="F640" s="3" t="s">
        <v>1490</v>
      </c>
      <c r="G640" s="3">
        <v>8.6999999999999993</v>
      </c>
    </row>
    <row r="641" spans="1:7" x14ac:dyDescent="0.25">
      <c r="A641" s="1" t="s">
        <v>3169</v>
      </c>
      <c r="B641" s="2">
        <v>77</v>
      </c>
      <c r="C641" s="3" t="str">
        <f>"011605110"</f>
        <v>011605110</v>
      </c>
      <c r="D641" s="3" t="s">
        <v>1416</v>
      </c>
      <c r="E641" s="3"/>
      <c r="F641" s="3" t="s">
        <v>1491</v>
      </c>
      <c r="G641" s="3">
        <v>614.14</v>
      </c>
    </row>
    <row r="642" spans="1:7" x14ac:dyDescent="0.25">
      <c r="A642" s="1" t="s">
        <v>3169</v>
      </c>
      <c r="B642" s="2">
        <v>77</v>
      </c>
      <c r="C642" s="3" t="str">
        <f>"011605111"</f>
        <v>011605111</v>
      </c>
      <c r="D642" s="3" t="s">
        <v>1416</v>
      </c>
      <c r="E642" s="3"/>
      <c r="F642" s="3" t="s">
        <v>1492</v>
      </c>
      <c r="G642" s="3">
        <v>6.46</v>
      </c>
    </row>
    <row r="643" spans="1:7" x14ac:dyDescent="0.25">
      <c r="A643" s="1" t="s">
        <v>3169</v>
      </c>
      <c r="B643" s="2">
        <v>77</v>
      </c>
      <c r="C643" s="3" t="str">
        <f>"011605112"</f>
        <v>011605112</v>
      </c>
      <c r="D643" s="3" t="s">
        <v>1416</v>
      </c>
      <c r="E643" s="3"/>
      <c r="F643" s="3" t="s">
        <v>1493</v>
      </c>
      <c r="G643" s="3">
        <v>21.5</v>
      </c>
    </row>
    <row r="644" spans="1:7" x14ac:dyDescent="0.25">
      <c r="A644" s="1" t="s">
        <v>3169</v>
      </c>
      <c r="B644" s="2">
        <v>77</v>
      </c>
      <c r="C644" s="3" t="str">
        <f>"011605288"</f>
        <v>011605288</v>
      </c>
      <c r="D644" s="3" t="s">
        <v>1494</v>
      </c>
      <c r="E644" s="3"/>
      <c r="F644" s="3" t="s">
        <v>1495</v>
      </c>
      <c r="G644" s="3">
        <v>6597.8</v>
      </c>
    </row>
    <row r="645" spans="1:7" x14ac:dyDescent="0.25">
      <c r="A645" s="1" t="s">
        <v>3169</v>
      </c>
      <c r="B645" s="2">
        <v>77</v>
      </c>
      <c r="C645" s="3" t="str">
        <f>"011605289"</f>
        <v>011605289</v>
      </c>
      <c r="D645" s="3" t="s">
        <v>1494</v>
      </c>
      <c r="E645" s="3"/>
      <c r="F645" s="3" t="s">
        <v>1496</v>
      </c>
      <c r="G645" s="3">
        <v>5535.28</v>
      </c>
    </row>
    <row r="646" spans="1:7" x14ac:dyDescent="0.25">
      <c r="A646" s="1" t="s">
        <v>3169</v>
      </c>
      <c r="B646" s="2">
        <v>77</v>
      </c>
      <c r="C646" s="3" t="str">
        <f>"011605290"</f>
        <v>011605290</v>
      </c>
      <c r="D646" s="3" t="s">
        <v>1494</v>
      </c>
      <c r="E646" s="3"/>
      <c r="F646" s="3" t="s">
        <v>1497</v>
      </c>
      <c r="G646" s="3">
        <v>7093.5</v>
      </c>
    </row>
    <row r="647" spans="1:7" x14ac:dyDescent="0.25">
      <c r="A647" s="1" t="s">
        <v>3169</v>
      </c>
      <c r="B647" s="2">
        <v>77</v>
      </c>
      <c r="C647" s="3" t="str">
        <f>"011605473"</f>
        <v>011605473</v>
      </c>
      <c r="D647" s="3" t="s">
        <v>1498</v>
      </c>
      <c r="E647" s="3" t="s">
        <v>1499</v>
      </c>
      <c r="F647" s="3" t="s">
        <v>1500</v>
      </c>
      <c r="G647" s="3">
        <v>500.74</v>
      </c>
    </row>
    <row r="648" spans="1:7" x14ac:dyDescent="0.25">
      <c r="A648" s="1" t="s">
        <v>3169</v>
      </c>
      <c r="B648" s="2">
        <v>77</v>
      </c>
      <c r="C648" s="3" t="str">
        <f>"011605479"</f>
        <v>011605479</v>
      </c>
      <c r="D648" s="3" t="s">
        <v>1501</v>
      </c>
      <c r="E648" s="3" t="s">
        <v>1502</v>
      </c>
      <c r="F648" s="3" t="s">
        <v>1503</v>
      </c>
      <c r="G648" s="3">
        <v>904.45</v>
      </c>
    </row>
    <row r="649" spans="1:7" x14ac:dyDescent="0.25">
      <c r="A649" s="1" t="s">
        <v>3169</v>
      </c>
      <c r="B649" s="2">
        <v>77</v>
      </c>
      <c r="C649" s="3" t="str">
        <f>"011605480"</f>
        <v>011605480</v>
      </c>
      <c r="D649" s="3" t="s">
        <v>1501</v>
      </c>
      <c r="E649" s="3" t="s">
        <v>1504</v>
      </c>
      <c r="F649" s="3" t="s">
        <v>1505</v>
      </c>
      <c r="G649" s="3">
        <v>904.45</v>
      </c>
    </row>
    <row r="650" spans="1:7" x14ac:dyDescent="0.25">
      <c r="A650" s="1" t="s">
        <v>3169</v>
      </c>
      <c r="B650" s="2">
        <v>77</v>
      </c>
      <c r="C650" s="3" t="str">
        <f>"011605873"</f>
        <v>011605873</v>
      </c>
      <c r="D650" s="3" t="s">
        <v>1506</v>
      </c>
      <c r="E650" s="3" t="s">
        <v>1507</v>
      </c>
      <c r="F650" s="3" t="s">
        <v>1508</v>
      </c>
      <c r="G650" s="3">
        <v>1439.4</v>
      </c>
    </row>
    <row r="651" spans="1:7" x14ac:dyDescent="0.25">
      <c r="A651" s="1" t="s">
        <v>3169</v>
      </c>
      <c r="B651" s="2">
        <v>77</v>
      </c>
      <c r="C651" s="3" t="str">
        <f>"011605879"</f>
        <v>011605879</v>
      </c>
      <c r="D651" s="3" t="s">
        <v>1506</v>
      </c>
      <c r="E651" s="3" t="s">
        <v>1509</v>
      </c>
      <c r="F651" s="3" t="s">
        <v>1510</v>
      </c>
      <c r="G651" s="3">
        <v>1454</v>
      </c>
    </row>
    <row r="652" spans="1:7" x14ac:dyDescent="0.25">
      <c r="A652" s="1" t="s">
        <v>3169</v>
      </c>
      <c r="B652" s="2">
        <v>77</v>
      </c>
      <c r="C652" s="3" t="str">
        <f>"011605880"</f>
        <v>011605880</v>
      </c>
      <c r="D652" s="3" t="s">
        <v>1506</v>
      </c>
      <c r="E652" s="3" t="s">
        <v>1511</v>
      </c>
      <c r="F652" s="3" t="s">
        <v>1512</v>
      </c>
      <c r="G652" s="3">
        <v>1307.8800000000001</v>
      </c>
    </row>
    <row r="653" spans="1:7" x14ac:dyDescent="0.25">
      <c r="A653" s="1" t="s">
        <v>3169</v>
      </c>
      <c r="B653" s="2">
        <v>77</v>
      </c>
      <c r="C653" s="3" t="str">
        <f>"011605887"</f>
        <v>011605887</v>
      </c>
      <c r="D653" s="3" t="s">
        <v>1506</v>
      </c>
      <c r="E653" s="3" t="s">
        <v>1513</v>
      </c>
      <c r="F653" s="3" t="s">
        <v>1514</v>
      </c>
      <c r="G653" s="3">
        <v>1380.96</v>
      </c>
    </row>
    <row r="654" spans="1:7" x14ac:dyDescent="0.25">
      <c r="A654" s="1" t="s">
        <v>3169</v>
      </c>
      <c r="B654" s="2">
        <v>77</v>
      </c>
      <c r="C654" s="3" t="str">
        <f>"011606045"</f>
        <v>011606045</v>
      </c>
      <c r="D654" s="3" t="s">
        <v>1506</v>
      </c>
      <c r="E654" s="3"/>
      <c r="F654" s="3" t="s">
        <v>1515</v>
      </c>
      <c r="G654" s="3">
        <v>28.1</v>
      </c>
    </row>
    <row r="655" spans="1:7" x14ac:dyDescent="0.25">
      <c r="A655" s="1" t="s">
        <v>3169</v>
      </c>
      <c r="B655" s="2">
        <v>77</v>
      </c>
      <c r="C655" s="3" t="str">
        <f>"011606046"</f>
        <v>011606046</v>
      </c>
      <c r="D655" s="3" t="s">
        <v>1506</v>
      </c>
      <c r="E655" s="3"/>
      <c r="F655" s="3" t="s">
        <v>1516</v>
      </c>
      <c r="G655" s="3">
        <v>107.42</v>
      </c>
    </row>
    <row r="656" spans="1:7" x14ac:dyDescent="0.25">
      <c r="A656" s="1" t="s">
        <v>3169</v>
      </c>
      <c r="B656" s="2">
        <v>77</v>
      </c>
      <c r="C656" s="3" t="str">
        <f>"011606047"</f>
        <v>011606047</v>
      </c>
      <c r="D656" s="3" t="s">
        <v>1506</v>
      </c>
      <c r="E656" s="3"/>
      <c r="F656" s="3" t="s">
        <v>1517</v>
      </c>
      <c r="G656" s="3">
        <v>52.42</v>
      </c>
    </row>
    <row r="657" spans="1:7" x14ac:dyDescent="0.25">
      <c r="A657" s="1" t="s">
        <v>3169</v>
      </c>
      <c r="B657" s="2">
        <v>77</v>
      </c>
      <c r="C657" s="3" t="str">
        <f>"011606049"</f>
        <v>011606049</v>
      </c>
      <c r="D657" s="3" t="s">
        <v>1506</v>
      </c>
      <c r="E657" s="3"/>
      <c r="F657" s="3" t="s">
        <v>1518</v>
      </c>
      <c r="G657" s="3">
        <v>25.64</v>
      </c>
    </row>
    <row r="658" spans="1:7" x14ac:dyDescent="0.25">
      <c r="A658" s="1" t="s">
        <v>3169</v>
      </c>
      <c r="B658" s="2">
        <v>77</v>
      </c>
      <c r="C658" s="3" t="str">
        <f>"011606050"</f>
        <v>011606050</v>
      </c>
      <c r="D658" s="3" t="s">
        <v>1506</v>
      </c>
      <c r="E658" s="3"/>
      <c r="F658" s="3" t="s">
        <v>1519</v>
      </c>
      <c r="G658" s="3">
        <v>12.72</v>
      </c>
    </row>
    <row r="659" spans="1:7" x14ac:dyDescent="0.25">
      <c r="A659" s="1" t="s">
        <v>3169</v>
      </c>
      <c r="B659" s="2">
        <v>77</v>
      </c>
      <c r="C659" s="3" t="str">
        <f>"011606051"</f>
        <v>011606051</v>
      </c>
      <c r="D659" s="3" t="s">
        <v>1506</v>
      </c>
      <c r="E659" s="3"/>
      <c r="F659" s="3" t="s">
        <v>1520</v>
      </c>
      <c r="G659" s="3">
        <v>1.44</v>
      </c>
    </row>
    <row r="660" spans="1:7" x14ac:dyDescent="0.25">
      <c r="A660" s="1" t="s">
        <v>3169</v>
      </c>
      <c r="B660" s="2">
        <v>77</v>
      </c>
      <c r="C660" s="3" t="str">
        <f>"011606052"</f>
        <v>011606052</v>
      </c>
      <c r="D660" s="3" t="s">
        <v>1506</v>
      </c>
      <c r="E660" s="3"/>
      <c r="F660" s="3" t="s">
        <v>1521</v>
      </c>
      <c r="G660" s="3">
        <v>1.42</v>
      </c>
    </row>
    <row r="661" spans="1:7" x14ac:dyDescent="0.25">
      <c r="A661" s="1" t="s">
        <v>3169</v>
      </c>
      <c r="B661" s="2">
        <v>77</v>
      </c>
      <c r="C661" s="3" t="str">
        <f>"011606112"</f>
        <v>011606112</v>
      </c>
      <c r="D661" s="3" t="s">
        <v>205</v>
      </c>
      <c r="E661" s="3" t="s">
        <v>1522</v>
      </c>
      <c r="F661" s="3" t="s">
        <v>1523</v>
      </c>
      <c r="G661" s="3">
        <v>1590</v>
      </c>
    </row>
    <row r="662" spans="1:7" x14ac:dyDescent="0.25">
      <c r="A662" s="1" t="s">
        <v>3169</v>
      </c>
      <c r="B662" s="2">
        <v>77</v>
      </c>
      <c r="C662" s="3" t="str">
        <f>"011606319"</f>
        <v>011606319</v>
      </c>
      <c r="D662" s="3" t="s">
        <v>1524</v>
      </c>
      <c r="E662" s="3"/>
      <c r="F662" s="3" t="s">
        <v>1525</v>
      </c>
      <c r="G662" s="3">
        <v>139.04</v>
      </c>
    </row>
    <row r="663" spans="1:7" x14ac:dyDescent="0.25">
      <c r="A663" s="1" t="s">
        <v>3169</v>
      </c>
      <c r="B663" s="2">
        <v>77</v>
      </c>
      <c r="C663" s="3" t="str">
        <f>"011606324"</f>
        <v>011606324</v>
      </c>
      <c r="D663" s="3" t="s">
        <v>1526</v>
      </c>
      <c r="E663" s="3" t="s">
        <v>1527</v>
      </c>
      <c r="F663" s="3" t="s">
        <v>1528</v>
      </c>
      <c r="G663" s="3">
        <v>2024.82</v>
      </c>
    </row>
    <row r="664" spans="1:7" x14ac:dyDescent="0.25">
      <c r="A664" s="1" t="s">
        <v>3169</v>
      </c>
      <c r="B664" s="2">
        <v>77</v>
      </c>
      <c r="C664" s="3" t="str">
        <f>"011607125"</f>
        <v>011607125</v>
      </c>
      <c r="D664" s="3" t="s">
        <v>588</v>
      </c>
      <c r="E664" s="3" t="s">
        <v>1529</v>
      </c>
      <c r="F664" s="3" t="s">
        <v>1530</v>
      </c>
      <c r="G664" s="3">
        <v>2513.6999999999998</v>
      </c>
    </row>
    <row r="665" spans="1:7" x14ac:dyDescent="0.25">
      <c r="A665" s="1" t="s">
        <v>3169</v>
      </c>
      <c r="B665" s="2">
        <v>77</v>
      </c>
      <c r="C665" s="3" t="str">
        <f>"011607128"</f>
        <v>011607128</v>
      </c>
      <c r="D665" s="3" t="s">
        <v>588</v>
      </c>
      <c r="E665" s="3"/>
      <c r="F665" s="3" t="s">
        <v>1531</v>
      </c>
      <c r="G665" s="3">
        <v>1583.52</v>
      </c>
    </row>
    <row r="666" spans="1:7" x14ac:dyDescent="0.25">
      <c r="A666" s="1" t="s">
        <v>3169</v>
      </c>
      <c r="B666" s="2">
        <v>77</v>
      </c>
      <c r="C666" s="3" t="str">
        <f>"011607621"</f>
        <v>011607621</v>
      </c>
      <c r="D666" s="3" t="s">
        <v>1430</v>
      </c>
      <c r="E666" s="3"/>
      <c r="F666" s="3" t="s">
        <v>1532</v>
      </c>
      <c r="G666" s="3">
        <v>13.1</v>
      </c>
    </row>
    <row r="667" spans="1:7" x14ac:dyDescent="0.25">
      <c r="A667" s="1" t="s">
        <v>3169</v>
      </c>
      <c r="B667" s="2">
        <v>77</v>
      </c>
      <c r="C667" s="3" t="str">
        <f>"011607657"</f>
        <v>011607657</v>
      </c>
      <c r="D667" s="3" t="s">
        <v>1533</v>
      </c>
      <c r="E667" s="3" t="s">
        <v>1534</v>
      </c>
      <c r="F667" s="3" t="s">
        <v>1535</v>
      </c>
      <c r="G667" s="3">
        <v>510.86</v>
      </c>
    </row>
    <row r="668" spans="1:7" x14ac:dyDescent="0.25">
      <c r="A668" s="1" t="s">
        <v>3169</v>
      </c>
      <c r="B668" s="2">
        <v>77</v>
      </c>
      <c r="C668" s="3" t="str">
        <f>"011607659"</f>
        <v>011607659</v>
      </c>
      <c r="D668" s="3" t="s">
        <v>1533</v>
      </c>
      <c r="E668" s="3" t="s">
        <v>1536</v>
      </c>
      <c r="F668" s="3" t="s">
        <v>1537</v>
      </c>
      <c r="G668" s="3">
        <v>510.86</v>
      </c>
    </row>
    <row r="669" spans="1:7" x14ac:dyDescent="0.25">
      <c r="A669" s="1" t="s">
        <v>3169</v>
      </c>
      <c r="B669" s="2">
        <v>77</v>
      </c>
      <c r="C669" s="3" t="str">
        <f>"011607695"</f>
        <v>011607695</v>
      </c>
      <c r="D669" s="3" t="s">
        <v>1498</v>
      </c>
      <c r="E669" s="3" t="s">
        <v>1538</v>
      </c>
      <c r="F669" s="3" t="s">
        <v>1539</v>
      </c>
      <c r="G669" s="3">
        <v>546.83000000000004</v>
      </c>
    </row>
    <row r="670" spans="1:7" x14ac:dyDescent="0.25">
      <c r="A670" s="1" t="s">
        <v>3169</v>
      </c>
      <c r="B670" s="2">
        <v>77</v>
      </c>
      <c r="C670" s="3" t="str">
        <f>"011607696"</f>
        <v>011607696</v>
      </c>
      <c r="D670" s="3" t="s">
        <v>1498</v>
      </c>
      <c r="E670" s="3" t="s">
        <v>1540</v>
      </c>
      <c r="F670" s="3" t="s">
        <v>1541</v>
      </c>
      <c r="G670" s="3">
        <v>546.83000000000004</v>
      </c>
    </row>
    <row r="671" spans="1:7" x14ac:dyDescent="0.25">
      <c r="A671" s="1" t="s">
        <v>3169</v>
      </c>
      <c r="B671" s="2">
        <v>77</v>
      </c>
      <c r="C671" s="3" t="str">
        <f>"011607697"</f>
        <v>011607697</v>
      </c>
      <c r="D671" s="3" t="s">
        <v>1498</v>
      </c>
      <c r="E671" s="3" t="s">
        <v>1542</v>
      </c>
      <c r="F671" s="3" t="s">
        <v>1543</v>
      </c>
      <c r="G671" s="3">
        <v>546.83000000000004</v>
      </c>
    </row>
    <row r="672" spans="1:7" x14ac:dyDescent="0.25">
      <c r="A672" s="1" t="s">
        <v>3169</v>
      </c>
      <c r="B672" s="2">
        <v>77</v>
      </c>
      <c r="C672" s="3" t="str">
        <f>"011607718"</f>
        <v>011607718</v>
      </c>
      <c r="D672" s="3" t="s">
        <v>1544</v>
      </c>
      <c r="E672" s="3"/>
      <c r="F672" s="3" t="s">
        <v>1545</v>
      </c>
      <c r="G672" s="3">
        <v>32.76</v>
      </c>
    </row>
    <row r="673" spans="1:7" x14ac:dyDescent="0.25">
      <c r="A673" s="1" t="s">
        <v>3169</v>
      </c>
      <c r="B673" s="2">
        <v>77</v>
      </c>
      <c r="C673" s="3" t="str">
        <f>"011607823"</f>
        <v>011607823</v>
      </c>
      <c r="D673" s="3" t="s">
        <v>292</v>
      </c>
      <c r="E673" s="3"/>
      <c r="F673" s="3" t="s">
        <v>1546</v>
      </c>
      <c r="G673" s="3">
        <v>51.8</v>
      </c>
    </row>
    <row r="674" spans="1:7" x14ac:dyDescent="0.25">
      <c r="A674" s="1" t="s">
        <v>3169</v>
      </c>
      <c r="B674" s="2">
        <v>77</v>
      </c>
      <c r="C674" s="3" t="str">
        <f>"011607874"</f>
        <v>011607874</v>
      </c>
      <c r="D674" s="3" t="s">
        <v>308</v>
      </c>
      <c r="E674" s="3" t="s">
        <v>1547</v>
      </c>
      <c r="F674" s="3" t="s">
        <v>1548</v>
      </c>
      <c r="G674" s="3">
        <v>539.66</v>
      </c>
    </row>
    <row r="675" spans="1:7" x14ac:dyDescent="0.25">
      <c r="A675" s="1" t="s">
        <v>3169</v>
      </c>
      <c r="B675" s="2">
        <v>77</v>
      </c>
      <c r="C675" s="3" t="str">
        <f>"011608077"</f>
        <v>011608077</v>
      </c>
      <c r="D675" s="3" t="s">
        <v>1549</v>
      </c>
      <c r="E675" s="3" t="s">
        <v>1550</v>
      </c>
      <c r="F675" s="3" t="s">
        <v>1551</v>
      </c>
      <c r="G675" s="3">
        <v>1073.01</v>
      </c>
    </row>
    <row r="676" spans="1:7" x14ac:dyDescent="0.25">
      <c r="A676" s="1" t="s">
        <v>3169</v>
      </c>
      <c r="B676" s="2">
        <v>77</v>
      </c>
      <c r="C676" s="3" t="str">
        <f>"011608166"</f>
        <v>011608166</v>
      </c>
      <c r="D676" s="3" t="s">
        <v>1552</v>
      </c>
      <c r="E676" s="3"/>
      <c r="F676" s="3" t="s">
        <v>1553</v>
      </c>
      <c r="G676" s="3">
        <v>31.2</v>
      </c>
    </row>
    <row r="677" spans="1:7" x14ac:dyDescent="0.25">
      <c r="A677" s="1" t="s">
        <v>3169</v>
      </c>
      <c r="B677" s="2">
        <v>77</v>
      </c>
      <c r="C677" s="3" t="str">
        <f>"011608202"</f>
        <v>011608202</v>
      </c>
      <c r="D677" s="3" t="s">
        <v>1554</v>
      </c>
      <c r="E677" s="3" t="s">
        <v>1555</v>
      </c>
      <c r="F677" s="3" t="s">
        <v>1556</v>
      </c>
      <c r="G677" s="3">
        <v>73970.77</v>
      </c>
    </row>
    <row r="678" spans="1:7" x14ac:dyDescent="0.25">
      <c r="A678" s="1" t="s">
        <v>3169</v>
      </c>
      <c r="B678" s="2">
        <v>77</v>
      </c>
      <c r="C678" s="3" t="str">
        <f>"011608206"</f>
        <v>011608206</v>
      </c>
      <c r="D678" s="3" t="s">
        <v>559</v>
      </c>
      <c r="E678" s="3"/>
      <c r="F678" s="3" t="s">
        <v>1557</v>
      </c>
      <c r="G678" s="3">
        <v>5.46</v>
      </c>
    </row>
    <row r="679" spans="1:7" x14ac:dyDescent="0.25">
      <c r="A679" s="1" t="s">
        <v>3169</v>
      </c>
      <c r="B679" s="2">
        <v>77</v>
      </c>
      <c r="C679" s="3" t="str">
        <f>"011608343"</f>
        <v>011608343</v>
      </c>
      <c r="D679" s="3" t="s">
        <v>1506</v>
      </c>
      <c r="E679" s="3" t="s">
        <v>1558</v>
      </c>
      <c r="F679" s="3" t="s">
        <v>1559</v>
      </c>
      <c r="G679" s="3">
        <v>949.86</v>
      </c>
    </row>
    <row r="680" spans="1:7" x14ac:dyDescent="0.25">
      <c r="A680" s="1" t="s">
        <v>3169</v>
      </c>
      <c r="B680" s="2">
        <v>77</v>
      </c>
      <c r="C680" s="3" t="str">
        <f>"011608365"</f>
        <v>011608365</v>
      </c>
      <c r="D680" s="3" t="s">
        <v>1506</v>
      </c>
      <c r="E680" s="3" t="s">
        <v>1560</v>
      </c>
      <c r="F680" s="3" t="s">
        <v>1561</v>
      </c>
      <c r="G680" s="3">
        <v>1074.08</v>
      </c>
    </row>
    <row r="681" spans="1:7" x14ac:dyDescent="0.25">
      <c r="A681" s="1" t="s">
        <v>3169</v>
      </c>
      <c r="B681" s="2">
        <v>77</v>
      </c>
      <c r="C681" s="3" t="str">
        <f>"011608384"</f>
        <v>011608384</v>
      </c>
      <c r="D681" s="3" t="s">
        <v>1506</v>
      </c>
      <c r="E681" s="3" t="s">
        <v>1562</v>
      </c>
      <c r="F681" s="3" t="s">
        <v>1563</v>
      </c>
      <c r="G681" s="3">
        <v>1001</v>
      </c>
    </row>
    <row r="682" spans="1:7" x14ac:dyDescent="0.25">
      <c r="A682" s="1" t="s">
        <v>3169</v>
      </c>
      <c r="B682" s="2">
        <v>77</v>
      </c>
      <c r="C682" s="3" t="str">
        <f>"011608386"</f>
        <v>011608386</v>
      </c>
      <c r="D682" s="3" t="s">
        <v>1506</v>
      </c>
      <c r="E682" s="3" t="s">
        <v>1564</v>
      </c>
      <c r="F682" s="3" t="s">
        <v>1565</v>
      </c>
      <c r="G682" s="3">
        <v>1001</v>
      </c>
    </row>
    <row r="683" spans="1:7" x14ac:dyDescent="0.25">
      <c r="A683" s="1" t="s">
        <v>3169</v>
      </c>
      <c r="B683" s="2">
        <v>77</v>
      </c>
      <c r="C683" s="3" t="str">
        <f>"011608387"</f>
        <v>011608387</v>
      </c>
      <c r="D683" s="3" t="s">
        <v>1506</v>
      </c>
      <c r="E683" s="3" t="s">
        <v>1566</v>
      </c>
      <c r="F683" s="3" t="s">
        <v>1567</v>
      </c>
      <c r="G683" s="3">
        <v>1001</v>
      </c>
    </row>
    <row r="684" spans="1:7" x14ac:dyDescent="0.25">
      <c r="A684" s="1" t="s">
        <v>3169</v>
      </c>
      <c r="B684" s="2">
        <v>77</v>
      </c>
      <c r="C684" s="3" t="str">
        <f>"011608388"</f>
        <v>011608388</v>
      </c>
      <c r="D684" s="3" t="s">
        <v>1506</v>
      </c>
      <c r="E684" s="3" t="s">
        <v>1568</v>
      </c>
      <c r="F684" s="3" t="s">
        <v>1569</v>
      </c>
      <c r="G684" s="3">
        <v>1001</v>
      </c>
    </row>
    <row r="685" spans="1:7" x14ac:dyDescent="0.25">
      <c r="A685" s="1" t="s">
        <v>3169</v>
      </c>
      <c r="B685" s="2">
        <v>77</v>
      </c>
      <c r="C685" s="3" t="str">
        <f>"011608389"</f>
        <v>011608389</v>
      </c>
      <c r="D685" s="3" t="s">
        <v>1533</v>
      </c>
      <c r="E685" s="3" t="s">
        <v>1570</v>
      </c>
      <c r="F685" s="3" t="s">
        <v>1571</v>
      </c>
      <c r="G685" s="3">
        <v>500.5</v>
      </c>
    </row>
    <row r="686" spans="1:7" x14ac:dyDescent="0.25">
      <c r="A686" s="1" t="s">
        <v>3169</v>
      </c>
      <c r="B686" s="2">
        <v>77</v>
      </c>
      <c r="C686" s="3" t="str">
        <f>"011608394"</f>
        <v>011608394</v>
      </c>
      <c r="D686" s="3" t="s">
        <v>1506</v>
      </c>
      <c r="E686" s="3"/>
      <c r="F686" s="3" t="s">
        <v>1572</v>
      </c>
      <c r="G686" s="3">
        <v>1.5</v>
      </c>
    </row>
    <row r="687" spans="1:7" x14ac:dyDescent="0.25">
      <c r="A687" s="1" t="s">
        <v>3169</v>
      </c>
      <c r="B687" s="2">
        <v>77</v>
      </c>
      <c r="C687" s="3" t="str">
        <f>"011608395"</f>
        <v>011608395</v>
      </c>
      <c r="D687" s="3" t="s">
        <v>1506</v>
      </c>
      <c r="E687" s="3"/>
      <c r="F687" s="3" t="s">
        <v>1573</v>
      </c>
      <c r="G687" s="3">
        <v>1.42</v>
      </c>
    </row>
    <row r="688" spans="1:7" x14ac:dyDescent="0.25">
      <c r="A688" s="1" t="s">
        <v>3169</v>
      </c>
      <c r="B688" s="2">
        <v>77</v>
      </c>
      <c r="C688" s="3" t="str">
        <f>"011608398"</f>
        <v>011608398</v>
      </c>
      <c r="D688" s="3" t="s">
        <v>1574</v>
      </c>
      <c r="E688" s="3" t="s">
        <v>1575</v>
      </c>
      <c r="F688" s="3" t="s">
        <v>1576</v>
      </c>
      <c r="G688" s="3">
        <v>76648.72</v>
      </c>
    </row>
    <row r="689" spans="1:7" x14ac:dyDescent="0.25">
      <c r="A689" s="1" t="s">
        <v>3169</v>
      </c>
      <c r="B689" s="2">
        <v>77</v>
      </c>
      <c r="C689" s="3" t="str">
        <f>"011608400"</f>
        <v>011608400</v>
      </c>
      <c r="D689" s="3" t="s">
        <v>325</v>
      </c>
      <c r="E689" s="3"/>
      <c r="F689" s="3" t="s">
        <v>1577</v>
      </c>
      <c r="G689" s="3">
        <v>138.72999999999999</v>
      </c>
    </row>
    <row r="690" spans="1:7" x14ac:dyDescent="0.25">
      <c r="A690" s="1" t="s">
        <v>3169</v>
      </c>
      <c r="B690" s="2">
        <v>77</v>
      </c>
      <c r="C690" s="3" t="str">
        <f>"011608571"</f>
        <v>011608571</v>
      </c>
      <c r="D690" s="3" t="s">
        <v>1578</v>
      </c>
      <c r="E690" s="3"/>
      <c r="F690" s="3" t="s">
        <v>1579</v>
      </c>
      <c r="G690" s="3">
        <v>1346.9</v>
      </c>
    </row>
    <row r="691" spans="1:7" x14ac:dyDescent="0.25">
      <c r="A691" s="1" t="s">
        <v>3169</v>
      </c>
      <c r="B691" s="2">
        <v>77</v>
      </c>
      <c r="C691" s="3" t="str">
        <f>"011608723"</f>
        <v>011608723</v>
      </c>
      <c r="D691" s="3" t="s">
        <v>1445</v>
      </c>
      <c r="E691" s="3" t="s">
        <v>1580</v>
      </c>
      <c r="F691" s="3" t="s">
        <v>1581</v>
      </c>
      <c r="G691" s="3">
        <v>467.57</v>
      </c>
    </row>
    <row r="692" spans="1:7" x14ac:dyDescent="0.25">
      <c r="A692" s="1" t="s">
        <v>3169</v>
      </c>
      <c r="B692" s="2">
        <v>77</v>
      </c>
      <c r="C692" s="3" t="str">
        <f>"011609244"</f>
        <v>011609244</v>
      </c>
      <c r="D692" s="3" t="s">
        <v>1578</v>
      </c>
      <c r="E692" s="3"/>
      <c r="F692" s="3" t="s">
        <v>1582</v>
      </c>
      <c r="G692" s="3">
        <v>170.8</v>
      </c>
    </row>
    <row r="693" spans="1:7" x14ac:dyDescent="0.25">
      <c r="A693" s="1" t="s">
        <v>3169</v>
      </c>
      <c r="B693" s="2">
        <v>77</v>
      </c>
      <c r="C693" s="3" t="str">
        <f>"011609249"</f>
        <v>011609249</v>
      </c>
      <c r="D693" s="3" t="s">
        <v>1578</v>
      </c>
      <c r="E693" s="3"/>
      <c r="F693" s="3" t="s">
        <v>1583</v>
      </c>
      <c r="G693" s="3">
        <v>180.6</v>
      </c>
    </row>
    <row r="694" spans="1:7" x14ac:dyDescent="0.25">
      <c r="A694" s="1" t="s">
        <v>3169</v>
      </c>
      <c r="B694" s="2">
        <v>77</v>
      </c>
      <c r="C694" s="3" t="str">
        <f>"011609250"</f>
        <v>011609250</v>
      </c>
      <c r="D694" s="3" t="s">
        <v>1578</v>
      </c>
      <c r="E694" s="3" t="s">
        <v>1584</v>
      </c>
      <c r="F694" s="3" t="s">
        <v>1585</v>
      </c>
      <c r="G694" s="3">
        <v>482.78</v>
      </c>
    </row>
    <row r="695" spans="1:7" x14ac:dyDescent="0.25">
      <c r="A695" s="1" t="s">
        <v>3169</v>
      </c>
      <c r="B695" s="2">
        <v>77</v>
      </c>
      <c r="C695" s="3" t="str">
        <f>"011609251"</f>
        <v>011609251</v>
      </c>
      <c r="D695" s="3" t="s">
        <v>1578</v>
      </c>
      <c r="E695" s="3" t="s">
        <v>1586</v>
      </c>
      <c r="F695" s="3" t="s">
        <v>1587</v>
      </c>
      <c r="G695" s="3">
        <v>482.78</v>
      </c>
    </row>
    <row r="696" spans="1:7" x14ac:dyDescent="0.25">
      <c r="A696" s="1" t="s">
        <v>3169</v>
      </c>
      <c r="B696" s="2">
        <v>77</v>
      </c>
      <c r="C696" s="3" t="str">
        <f>"011609252"</f>
        <v>011609252</v>
      </c>
      <c r="D696" s="3" t="s">
        <v>1578</v>
      </c>
      <c r="E696" s="3" t="s">
        <v>1588</v>
      </c>
      <c r="F696" s="3" t="s">
        <v>1589</v>
      </c>
      <c r="G696" s="3">
        <v>482.78</v>
      </c>
    </row>
    <row r="697" spans="1:7" x14ac:dyDescent="0.25">
      <c r="A697" s="1" t="s">
        <v>3169</v>
      </c>
      <c r="B697" s="2">
        <v>77</v>
      </c>
      <c r="C697" s="3" t="str">
        <f>"011609253"</f>
        <v>011609253</v>
      </c>
      <c r="D697" s="3" t="s">
        <v>1578</v>
      </c>
      <c r="E697" s="3" t="s">
        <v>1590</v>
      </c>
      <c r="F697" s="3" t="s">
        <v>1591</v>
      </c>
      <c r="G697" s="3">
        <v>482.78</v>
      </c>
    </row>
    <row r="698" spans="1:7" x14ac:dyDescent="0.25">
      <c r="A698" s="1" t="s">
        <v>3169</v>
      </c>
      <c r="B698" s="2">
        <v>77</v>
      </c>
      <c r="C698" s="3" t="str">
        <f>"011609254"</f>
        <v>011609254</v>
      </c>
      <c r="D698" s="3" t="s">
        <v>1578</v>
      </c>
      <c r="E698" s="3" t="s">
        <v>1592</v>
      </c>
      <c r="F698" s="3" t="s">
        <v>1593</v>
      </c>
      <c r="G698" s="3">
        <v>482.78</v>
      </c>
    </row>
    <row r="699" spans="1:7" x14ac:dyDescent="0.25">
      <c r="A699" s="1" t="s">
        <v>3169</v>
      </c>
      <c r="B699" s="2">
        <v>77</v>
      </c>
      <c r="C699" s="3" t="str">
        <f>"011609257"</f>
        <v>011609257</v>
      </c>
      <c r="D699" s="3" t="s">
        <v>1578</v>
      </c>
      <c r="E699" s="3" t="s">
        <v>1594</v>
      </c>
      <c r="F699" s="3" t="s">
        <v>1595</v>
      </c>
      <c r="G699" s="3">
        <v>482.78</v>
      </c>
    </row>
    <row r="700" spans="1:7" x14ac:dyDescent="0.25">
      <c r="A700" s="1" t="s">
        <v>3169</v>
      </c>
      <c r="B700" s="2">
        <v>77</v>
      </c>
      <c r="C700" s="3" t="str">
        <f>"011609258"</f>
        <v>011609258</v>
      </c>
      <c r="D700" s="3" t="s">
        <v>1578</v>
      </c>
      <c r="E700" s="3" t="s">
        <v>1596</v>
      </c>
      <c r="F700" s="3" t="s">
        <v>1597</v>
      </c>
      <c r="G700" s="3">
        <v>482.78</v>
      </c>
    </row>
    <row r="701" spans="1:7" x14ac:dyDescent="0.25">
      <c r="A701" s="1" t="s">
        <v>3169</v>
      </c>
      <c r="B701" s="2">
        <v>77</v>
      </c>
      <c r="C701" s="3" t="str">
        <f>"011609259"</f>
        <v>011609259</v>
      </c>
      <c r="D701" s="3" t="s">
        <v>1578</v>
      </c>
      <c r="E701" s="3" t="s">
        <v>1598</v>
      </c>
      <c r="F701" s="3" t="s">
        <v>1599</v>
      </c>
      <c r="G701" s="3">
        <v>482.78</v>
      </c>
    </row>
    <row r="702" spans="1:7" x14ac:dyDescent="0.25">
      <c r="A702" s="1" t="s">
        <v>3169</v>
      </c>
      <c r="B702" s="2">
        <v>77</v>
      </c>
      <c r="C702" s="3" t="str">
        <f>"011609262"</f>
        <v>011609262</v>
      </c>
      <c r="D702" s="3" t="s">
        <v>1578</v>
      </c>
      <c r="E702" s="3"/>
      <c r="F702" s="3" t="s">
        <v>1600</v>
      </c>
      <c r="G702" s="3">
        <v>482.78</v>
      </c>
    </row>
    <row r="703" spans="1:7" x14ac:dyDescent="0.25">
      <c r="A703" s="1" t="s">
        <v>3169</v>
      </c>
      <c r="B703" s="2">
        <v>77</v>
      </c>
      <c r="C703" s="3" t="str">
        <f>"011609263"</f>
        <v>011609263</v>
      </c>
      <c r="D703" s="3" t="s">
        <v>1578</v>
      </c>
      <c r="E703" s="3" t="s">
        <v>1601</v>
      </c>
      <c r="F703" s="3" t="s">
        <v>1602</v>
      </c>
      <c r="G703" s="3">
        <v>482.78</v>
      </c>
    </row>
    <row r="704" spans="1:7" x14ac:dyDescent="0.25">
      <c r="A704" s="1" t="s">
        <v>3169</v>
      </c>
      <c r="B704" s="2">
        <v>77</v>
      </c>
      <c r="C704" s="3" t="str">
        <f>"011609264"</f>
        <v>011609264</v>
      </c>
      <c r="D704" s="3" t="s">
        <v>1578</v>
      </c>
      <c r="E704" s="3" t="s">
        <v>1603</v>
      </c>
      <c r="F704" s="3" t="s">
        <v>1604</v>
      </c>
      <c r="G704" s="3">
        <v>482.78</v>
      </c>
    </row>
    <row r="705" spans="1:7" x14ac:dyDescent="0.25">
      <c r="A705" s="1" t="s">
        <v>3169</v>
      </c>
      <c r="B705" s="2">
        <v>77</v>
      </c>
      <c r="C705" s="3" t="str">
        <f>"011609265"</f>
        <v>011609265</v>
      </c>
      <c r="D705" s="3" t="s">
        <v>1578</v>
      </c>
      <c r="E705" s="3" t="s">
        <v>1605</v>
      </c>
      <c r="F705" s="3" t="s">
        <v>1606</v>
      </c>
      <c r="G705" s="3">
        <v>482.78</v>
      </c>
    </row>
    <row r="706" spans="1:7" x14ac:dyDescent="0.25">
      <c r="A706" s="1" t="s">
        <v>3169</v>
      </c>
      <c r="B706" s="2">
        <v>77</v>
      </c>
      <c r="C706" s="3" t="str">
        <f>"011609267"</f>
        <v>011609267</v>
      </c>
      <c r="D706" s="3" t="s">
        <v>1578</v>
      </c>
      <c r="E706" s="3" t="s">
        <v>1607</v>
      </c>
      <c r="F706" s="3" t="s">
        <v>1608</v>
      </c>
      <c r="G706" s="3">
        <v>482.78</v>
      </c>
    </row>
    <row r="707" spans="1:7" x14ac:dyDescent="0.25">
      <c r="A707" s="1" t="s">
        <v>3169</v>
      </c>
      <c r="B707" s="2">
        <v>77</v>
      </c>
      <c r="C707" s="3" t="str">
        <f>"011609268"</f>
        <v>011609268</v>
      </c>
      <c r="D707" s="3" t="s">
        <v>1578</v>
      </c>
      <c r="E707" s="3" t="s">
        <v>1609</v>
      </c>
      <c r="F707" s="3" t="s">
        <v>1610</v>
      </c>
      <c r="G707" s="3">
        <v>482.78</v>
      </c>
    </row>
    <row r="708" spans="1:7" x14ac:dyDescent="0.25">
      <c r="A708" s="1" t="s">
        <v>3169</v>
      </c>
      <c r="B708" s="2">
        <v>77</v>
      </c>
      <c r="C708" s="3" t="str">
        <f>"011609269"</f>
        <v>011609269</v>
      </c>
      <c r="D708" s="3" t="s">
        <v>1578</v>
      </c>
      <c r="E708" s="3"/>
      <c r="F708" s="3" t="s">
        <v>1611</v>
      </c>
      <c r="G708" s="3">
        <v>482.78</v>
      </c>
    </row>
    <row r="709" spans="1:7" x14ac:dyDescent="0.25">
      <c r="A709" s="1" t="s">
        <v>3169</v>
      </c>
      <c r="B709" s="2">
        <v>77</v>
      </c>
      <c r="C709" s="3" t="str">
        <f>"011609270"</f>
        <v>011609270</v>
      </c>
      <c r="D709" s="3" t="s">
        <v>1578</v>
      </c>
      <c r="E709" s="3"/>
      <c r="F709" s="3" t="s">
        <v>1612</v>
      </c>
      <c r="G709" s="3">
        <v>482.78</v>
      </c>
    </row>
    <row r="710" spans="1:7" x14ac:dyDescent="0.25">
      <c r="A710" s="1" t="s">
        <v>3169</v>
      </c>
      <c r="B710" s="2">
        <v>77</v>
      </c>
      <c r="C710" s="3" t="str">
        <f>"011609271"</f>
        <v>011609271</v>
      </c>
      <c r="D710" s="3" t="s">
        <v>1578</v>
      </c>
      <c r="E710" s="3" t="s">
        <v>1613</v>
      </c>
      <c r="F710" s="3" t="s">
        <v>1614</v>
      </c>
      <c r="G710" s="3">
        <v>482.78</v>
      </c>
    </row>
    <row r="711" spans="1:7" x14ac:dyDescent="0.25">
      <c r="A711" s="1" t="s">
        <v>3169</v>
      </c>
      <c r="B711" s="2">
        <v>77</v>
      </c>
      <c r="C711" s="3" t="str">
        <f>"011609272"</f>
        <v>011609272</v>
      </c>
      <c r="D711" s="3" t="s">
        <v>1578</v>
      </c>
      <c r="E711" s="3" t="s">
        <v>1615</v>
      </c>
      <c r="F711" s="3" t="s">
        <v>1616</v>
      </c>
      <c r="G711" s="3">
        <v>482.78</v>
      </c>
    </row>
    <row r="712" spans="1:7" x14ac:dyDescent="0.25">
      <c r="A712" s="1" t="s">
        <v>3169</v>
      </c>
      <c r="B712" s="2">
        <v>77</v>
      </c>
      <c r="C712" s="3" t="str">
        <f>"011609273"</f>
        <v>011609273</v>
      </c>
      <c r="D712" s="3" t="s">
        <v>1578</v>
      </c>
      <c r="E712" s="3" t="s">
        <v>1617</v>
      </c>
      <c r="F712" s="3" t="s">
        <v>1618</v>
      </c>
      <c r="G712" s="3">
        <v>482.78</v>
      </c>
    </row>
    <row r="713" spans="1:7" x14ac:dyDescent="0.25">
      <c r="A713" s="1" t="s">
        <v>3169</v>
      </c>
      <c r="B713" s="2">
        <v>77</v>
      </c>
      <c r="C713" s="3" t="str">
        <f>"011609274"</f>
        <v>011609274</v>
      </c>
      <c r="D713" s="3" t="s">
        <v>1578</v>
      </c>
      <c r="E713" s="3" t="s">
        <v>1619</v>
      </c>
      <c r="F713" s="3" t="s">
        <v>1620</v>
      </c>
      <c r="G713" s="3">
        <v>482.78</v>
      </c>
    </row>
    <row r="714" spans="1:7" x14ac:dyDescent="0.25">
      <c r="A714" s="1" t="s">
        <v>3169</v>
      </c>
      <c r="B714" s="2">
        <v>77</v>
      </c>
      <c r="C714" s="3" t="str">
        <f>"011609275"</f>
        <v>011609275</v>
      </c>
      <c r="D714" s="3" t="s">
        <v>1578</v>
      </c>
      <c r="E714" s="3" t="s">
        <v>1621</v>
      </c>
      <c r="F714" s="3" t="s">
        <v>1622</v>
      </c>
      <c r="G714" s="3">
        <v>482.78</v>
      </c>
    </row>
    <row r="715" spans="1:7" x14ac:dyDescent="0.25">
      <c r="A715" s="1" t="s">
        <v>3169</v>
      </c>
      <c r="B715" s="2">
        <v>77</v>
      </c>
      <c r="C715" s="3" t="str">
        <f>"011609276"</f>
        <v>011609276</v>
      </c>
      <c r="D715" s="3" t="s">
        <v>1578</v>
      </c>
      <c r="E715" s="3" t="s">
        <v>1623</v>
      </c>
      <c r="F715" s="3" t="s">
        <v>1624</v>
      </c>
      <c r="G715" s="3">
        <v>482.78</v>
      </c>
    </row>
    <row r="716" spans="1:7" x14ac:dyDescent="0.25">
      <c r="A716" s="1" t="s">
        <v>3169</v>
      </c>
      <c r="B716" s="2">
        <v>77</v>
      </c>
      <c r="C716" s="3" t="str">
        <f>"011609277"</f>
        <v>011609277</v>
      </c>
      <c r="D716" s="3" t="s">
        <v>1578</v>
      </c>
      <c r="E716" s="3"/>
      <c r="F716" s="3" t="s">
        <v>1625</v>
      </c>
      <c r="G716" s="3">
        <v>482.78</v>
      </c>
    </row>
    <row r="717" spans="1:7" x14ac:dyDescent="0.25">
      <c r="A717" s="1" t="s">
        <v>3169</v>
      </c>
      <c r="B717" s="2">
        <v>77</v>
      </c>
      <c r="C717" s="3" t="str">
        <f>"011609278"</f>
        <v>011609278</v>
      </c>
      <c r="D717" s="3" t="s">
        <v>1578</v>
      </c>
      <c r="E717" s="3"/>
      <c r="F717" s="3" t="s">
        <v>1626</v>
      </c>
      <c r="G717" s="3">
        <v>482.78</v>
      </c>
    </row>
    <row r="718" spans="1:7" x14ac:dyDescent="0.25">
      <c r="A718" s="1" t="s">
        <v>3169</v>
      </c>
      <c r="B718" s="2">
        <v>77</v>
      </c>
      <c r="C718" s="3" t="str">
        <f>"011609279"</f>
        <v>011609279</v>
      </c>
      <c r="D718" s="3" t="s">
        <v>1578</v>
      </c>
      <c r="E718" s="3" t="s">
        <v>1627</v>
      </c>
      <c r="F718" s="3" t="s">
        <v>1628</v>
      </c>
      <c r="G718" s="3">
        <v>482.78</v>
      </c>
    </row>
    <row r="719" spans="1:7" x14ac:dyDescent="0.25">
      <c r="A719" s="1" t="s">
        <v>3169</v>
      </c>
      <c r="B719" s="2">
        <v>77</v>
      </c>
      <c r="C719" s="3" t="str">
        <f>"011609280"</f>
        <v>011609280</v>
      </c>
      <c r="D719" s="3" t="s">
        <v>1578</v>
      </c>
      <c r="E719" s="3" t="s">
        <v>1629</v>
      </c>
      <c r="F719" s="3" t="s">
        <v>1630</v>
      </c>
      <c r="G719" s="3">
        <v>482.78</v>
      </c>
    </row>
    <row r="720" spans="1:7" x14ac:dyDescent="0.25">
      <c r="A720" s="1" t="s">
        <v>3169</v>
      </c>
      <c r="B720" s="2">
        <v>77</v>
      </c>
      <c r="C720" s="3" t="str">
        <f>"011609281"</f>
        <v>011609281</v>
      </c>
      <c r="D720" s="3" t="s">
        <v>1578</v>
      </c>
      <c r="E720" s="3" t="s">
        <v>1631</v>
      </c>
      <c r="F720" s="3" t="s">
        <v>1632</v>
      </c>
      <c r="G720" s="3">
        <v>482.78</v>
      </c>
    </row>
    <row r="721" spans="1:7" x14ac:dyDescent="0.25">
      <c r="A721" s="1" t="s">
        <v>3169</v>
      </c>
      <c r="B721" s="2">
        <v>77</v>
      </c>
      <c r="C721" s="3" t="str">
        <f>"011609282"</f>
        <v>011609282</v>
      </c>
      <c r="D721" s="3" t="s">
        <v>1578</v>
      </c>
      <c r="E721" s="3" t="s">
        <v>1633</v>
      </c>
      <c r="F721" s="3" t="s">
        <v>1634</v>
      </c>
      <c r="G721" s="3">
        <v>482.78</v>
      </c>
    </row>
    <row r="722" spans="1:7" x14ac:dyDescent="0.25">
      <c r="A722" s="1" t="s">
        <v>3169</v>
      </c>
      <c r="B722" s="2">
        <v>77</v>
      </c>
      <c r="C722" s="3" t="str">
        <f>"011609283"</f>
        <v>011609283</v>
      </c>
      <c r="D722" s="3" t="s">
        <v>1578</v>
      </c>
      <c r="E722" s="3" t="s">
        <v>1635</v>
      </c>
      <c r="F722" s="3" t="s">
        <v>1636</v>
      </c>
      <c r="G722" s="3">
        <v>482.78</v>
      </c>
    </row>
    <row r="723" spans="1:7" x14ac:dyDescent="0.25">
      <c r="A723" s="1" t="s">
        <v>3169</v>
      </c>
      <c r="B723" s="2">
        <v>77</v>
      </c>
      <c r="C723" s="3" t="str">
        <f>"011609284"</f>
        <v>011609284</v>
      </c>
      <c r="D723" s="3" t="s">
        <v>1578</v>
      </c>
      <c r="E723" s="3" t="s">
        <v>1637</v>
      </c>
      <c r="F723" s="3" t="s">
        <v>1638</v>
      </c>
      <c r="G723" s="3">
        <v>482.78</v>
      </c>
    </row>
    <row r="724" spans="1:7" x14ac:dyDescent="0.25">
      <c r="A724" s="1" t="s">
        <v>3169</v>
      </c>
      <c r="B724" s="2">
        <v>77</v>
      </c>
      <c r="C724" s="3" t="str">
        <f>"011609285"</f>
        <v>011609285</v>
      </c>
      <c r="D724" s="3" t="s">
        <v>1578</v>
      </c>
      <c r="E724" s="3"/>
      <c r="F724" s="3" t="s">
        <v>1639</v>
      </c>
      <c r="G724" s="3">
        <v>482.78</v>
      </c>
    </row>
    <row r="725" spans="1:7" x14ac:dyDescent="0.25">
      <c r="A725" s="1" t="s">
        <v>3169</v>
      </c>
      <c r="B725" s="2">
        <v>77</v>
      </c>
      <c r="C725" s="3" t="str">
        <f>"011609287"</f>
        <v>011609287</v>
      </c>
      <c r="D725" s="3" t="s">
        <v>1578</v>
      </c>
      <c r="E725" s="3" t="s">
        <v>1640</v>
      </c>
      <c r="F725" s="3" t="s">
        <v>1641</v>
      </c>
      <c r="G725" s="3">
        <v>482.78</v>
      </c>
    </row>
    <row r="726" spans="1:7" x14ac:dyDescent="0.25">
      <c r="A726" s="1" t="s">
        <v>3169</v>
      </c>
      <c r="B726" s="2">
        <v>77</v>
      </c>
      <c r="C726" s="3" t="str">
        <f>"011609288"</f>
        <v>011609288</v>
      </c>
      <c r="D726" s="3" t="s">
        <v>1578</v>
      </c>
      <c r="E726" s="3" t="s">
        <v>1642</v>
      </c>
      <c r="F726" s="3" t="s">
        <v>1643</v>
      </c>
      <c r="G726" s="3">
        <v>482.78</v>
      </c>
    </row>
    <row r="727" spans="1:7" x14ac:dyDescent="0.25">
      <c r="A727" s="1" t="s">
        <v>3169</v>
      </c>
      <c r="B727" s="2">
        <v>77</v>
      </c>
      <c r="C727" s="3" t="str">
        <f>"011609289"</f>
        <v>011609289</v>
      </c>
      <c r="D727" s="3" t="s">
        <v>1578</v>
      </c>
      <c r="E727" s="3" t="s">
        <v>1644</v>
      </c>
      <c r="F727" s="3" t="s">
        <v>1645</v>
      </c>
      <c r="G727" s="3">
        <v>482.78</v>
      </c>
    </row>
    <row r="728" spans="1:7" x14ac:dyDescent="0.25">
      <c r="A728" s="1" t="s">
        <v>3169</v>
      </c>
      <c r="B728" s="2">
        <v>77</v>
      </c>
      <c r="C728" s="3" t="str">
        <f>"011609290"</f>
        <v>011609290</v>
      </c>
      <c r="D728" s="3" t="s">
        <v>1578</v>
      </c>
      <c r="E728" s="3" t="s">
        <v>1646</v>
      </c>
      <c r="F728" s="3" t="s">
        <v>1647</v>
      </c>
      <c r="G728" s="3">
        <v>482.78</v>
      </c>
    </row>
    <row r="729" spans="1:7" x14ac:dyDescent="0.25">
      <c r="A729" s="1" t="s">
        <v>3169</v>
      </c>
      <c r="B729" s="2">
        <v>77</v>
      </c>
      <c r="C729" s="3" t="str">
        <f>"011609291"</f>
        <v>011609291</v>
      </c>
      <c r="D729" s="3" t="s">
        <v>1578</v>
      </c>
      <c r="E729" s="3" t="s">
        <v>1648</v>
      </c>
      <c r="F729" s="3" t="s">
        <v>1649</v>
      </c>
      <c r="G729" s="3">
        <v>482.78</v>
      </c>
    </row>
    <row r="730" spans="1:7" x14ac:dyDescent="0.25">
      <c r="A730" s="1" t="s">
        <v>3169</v>
      </c>
      <c r="B730" s="2">
        <v>77</v>
      </c>
      <c r="C730" s="3" t="str">
        <f>"011609292"</f>
        <v>011609292</v>
      </c>
      <c r="D730" s="3" t="s">
        <v>1578</v>
      </c>
      <c r="E730" s="3"/>
      <c r="F730" s="3" t="s">
        <v>1650</v>
      </c>
      <c r="G730" s="3">
        <v>482.78</v>
      </c>
    </row>
    <row r="731" spans="1:7" x14ac:dyDescent="0.25">
      <c r="A731" s="1" t="s">
        <v>3169</v>
      </c>
      <c r="B731" s="2">
        <v>77</v>
      </c>
      <c r="C731" s="3" t="str">
        <f>"011609295"</f>
        <v>011609295</v>
      </c>
      <c r="D731" s="3" t="s">
        <v>1578</v>
      </c>
      <c r="E731" s="3" t="s">
        <v>1651</v>
      </c>
      <c r="F731" s="3" t="s">
        <v>1652</v>
      </c>
      <c r="G731" s="3">
        <v>482.78</v>
      </c>
    </row>
    <row r="732" spans="1:7" x14ac:dyDescent="0.25">
      <c r="A732" s="1" t="s">
        <v>3169</v>
      </c>
      <c r="B732" s="2">
        <v>77</v>
      </c>
      <c r="C732" s="3" t="str">
        <f>"011609296"</f>
        <v>011609296</v>
      </c>
      <c r="D732" s="3" t="s">
        <v>1578</v>
      </c>
      <c r="E732" s="3" t="s">
        <v>1653</v>
      </c>
      <c r="F732" s="3" t="s">
        <v>1654</v>
      </c>
      <c r="G732" s="3">
        <v>482.78</v>
      </c>
    </row>
    <row r="733" spans="1:7" x14ac:dyDescent="0.25">
      <c r="A733" s="1" t="s">
        <v>3169</v>
      </c>
      <c r="B733" s="2">
        <v>77</v>
      </c>
      <c r="C733" s="3" t="str">
        <f>"011609297"</f>
        <v>011609297</v>
      </c>
      <c r="D733" s="3" t="s">
        <v>1578</v>
      </c>
      <c r="E733" s="3" t="s">
        <v>1655</v>
      </c>
      <c r="F733" s="3" t="s">
        <v>1656</v>
      </c>
      <c r="G733" s="3">
        <v>482.78</v>
      </c>
    </row>
    <row r="734" spans="1:7" x14ac:dyDescent="0.25">
      <c r="A734" s="1" t="s">
        <v>3169</v>
      </c>
      <c r="B734" s="2">
        <v>77</v>
      </c>
      <c r="C734" s="3" t="str">
        <f>"011609298"</f>
        <v>011609298</v>
      </c>
      <c r="D734" s="3" t="s">
        <v>1578</v>
      </c>
      <c r="E734" s="3"/>
      <c r="F734" s="3" t="s">
        <v>1657</v>
      </c>
      <c r="G734" s="3">
        <v>482.78</v>
      </c>
    </row>
    <row r="735" spans="1:7" x14ac:dyDescent="0.25">
      <c r="A735" s="1" t="s">
        <v>3169</v>
      </c>
      <c r="B735" s="2">
        <v>77</v>
      </c>
      <c r="C735" s="3" t="str">
        <f>"011609299"</f>
        <v>011609299</v>
      </c>
      <c r="D735" s="3" t="s">
        <v>1578</v>
      </c>
      <c r="E735" s="3"/>
      <c r="F735" s="3" t="s">
        <v>1658</v>
      </c>
      <c r="G735" s="3">
        <v>482.78</v>
      </c>
    </row>
    <row r="736" spans="1:7" x14ac:dyDescent="0.25">
      <c r="A736" s="1" t="s">
        <v>3169</v>
      </c>
      <c r="B736" s="2">
        <v>77</v>
      </c>
      <c r="C736" s="3" t="str">
        <f>"011609300"</f>
        <v>011609300</v>
      </c>
      <c r="D736" s="3" t="s">
        <v>1578</v>
      </c>
      <c r="E736" s="3" t="s">
        <v>1659</v>
      </c>
      <c r="F736" s="3" t="s">
        <v>1660</v>
      </c>
      <c r="G736" s="3">
        <v>482.78</v>
      </c>
    </row>
    <row r="737" spans="1:7" x14ac:dyDescent="0.25">
      <c r="A737" s="1" t="s">
        <v>3169</v>
      </c>
      <c r="B737" s="2">
        <v>77</v>
      </c>
      <c r="C737" s="3" t="str">
        <f>"011609301"</f>
        <v>011609301</v>
      </c>
      <c r="D737" s="3" t="s">
        <v>1578</v>
      </c>
      <c r="E737" s="3" t="s">
        <v>1661</v>
      </c>
      <c r="F737" s="3" t="s">
        <v>1662</v>
      </c>
      <c r="G737" s="3">
        <v>482.78</v>
      </c>
    </row>
    <row r="738" spans="1:7" x14ac:dyDescent="0.25">
      <c r="A738" s="1" t="s">
        <v>3169</v>
      </c>
      <c r="B738" s="2">
        <v>77</v>
      </c>
      <c r="C738" s="3" t="str">
        <f>"011609302"</f>
        <v>011609302</v>
      </c>
      <c r="D738" s="3" t="s">
        <v>1578</v>
      </c>
      <c r="E738" s="3" t="s">
        <v>1663</v>
      </c>
      <c r="F738" s="3" t="s">
        <v>1664</v>
      </c>
      <c r="G738" s="3">
        <v>482.78</v>
      </c>
    </row>
    <row r="739" spans="1:7" x14ac:dyDescent="0.25">
      <c r="A739" s="1" t="s">
        <v>3169</v>
      </c>
      <c r="B739" s="2">
        <v>77</v>
      </c>
      <c r="C739" s="3" t="str">
        <f>"011609303"</f>
        <v>011609303</v>
      </c>
      <c r="D739" s="3" t="s">
        <v>1578</v>
      </c>
      <c r="E739" s="3" t="s">
        <v>1665</v>
      </c>
      <c r="F739" s="3" t="s">
        <v>1666</v>
      </c>
      <c r="G739" s="3">
        <v>482.78</v>
      </c>
    </row>
    <row r="740" spans="1:7" x14ac:dyDescent="0.25">
      <c r="A740" s="1" t="s">
        <v>3169</v>
      </c>
      <c r="B740" s="2">
        <v>77</v>
      </c>
      <c r="C740" s="3" t="str">
        <f>"011609304"</f>
        <v>011609304</v>
      </c>
      <c r="D740" s="3" t="s">
        <v>1578</v>
      </c>
      <c r="E740" s="3" t="s">
        <v>1667</v>
      </c>
      <c r="F740" s="3" t="s">
        <v>1668</v>
      </c>
      <c r="G740" s="3">
        <v>482.78</v>
      </c>
    </row>
    <row r="741" spans="1:7" x14ac:dyDescent="0.25">
      <c r="A741" s="1" t="s">
        <v>3169</v>
      </c>
      <c r="B741" s="2">
        <v>77</v>
      </c>
      <c r="C741" s="3" t="str">
        <f>"011609305"</f>
        <v>011609305</v>
      </c>
      <c r="D741" s="3" t="s">
        <v>1578</v>
      </c>
      <c r="E741" s="3" t="s">
        <v>1669</v>
      </c>
      <c r="F741" s="3" t="s">
        <v>1670</v>
      </c>
      <c r="G741" s="3">
        <v>482.78</v>
      </c>
    </row>
    <row r="742" spans="1:7" x14ac:dyDescent="0.25">
      <c r="A742" s="1" t="s">
        <v>3169</v>
      </c>
      <c r="B742" s="2">
        <v>77</v>
      </c>
      <c r="C742" s="3" t="str">
        <f>"011609306"</f>
        <v>011609306</v>
      </c>
      <c r="D742" s="3" t="s">
        <v>1578</v>
      </c>
      <c r="E742" s="3" t="s">
        <v>1671</v>
      </c>
      <c r="F742" s="3" t="s">
        <v>1672</v>
      </c>
      <c r="G742" s="3">
        <v>482.78</v>
      </c>
    </row>
    <row r="743" spans="1:7" x14ac:dyDescent="0.25">
      <c r="A743" s="1" t="s">
        <v>3169</v>
      </c>
      <c r="B743" s="2">
        <v>77</v>
      </c>
      <c r="C743" s="3" t="str">
        <f>"011609307"</f>
        <v>011609307</v>
      </c>
      <c r="D743" s="3" t="s">
        <v>1578</v>
      </c>
      <c r="E743" s="3" t="s">
        <v>1673</v>
      </c>
      <c r="F743" s="3" t="s">
        <v>1674</v>
      </c>
      <c r="G743" s="3">
        <v>482.78</v>
      </c>
    </row>
    <row r="744" spans="1:7" x14ac:dyDescent="0.25">
      <c r="A744" s="1" t="s">
        <v>3169</v>
      </c>
      <c r="B744" s="2">
        <v>77</v>
      </c>
      <c r="C744" s="3" t="str">
        <f>"011609309"</f>
        <v>011609309</v>
      </c>
      <c r="D744" s="3" t="s">
        <v>1578</v>
      </c>
      <c r="E744" s="3"/>
      <c r="F744" s="3" t="s">
        <v>1675</v>
      </c>
      <c r="G744" s="3">
        <v>482.78</v>
      </c>
    </row>
    <row r="745" spans="1:7" x14ac:dyDescent="0.25">
      <c r="A745" s="1" t="s">
        <v>3169</v>
      </c>
      <c r="B745" s="2">
        <v>77</v>
      </c>
      <c r="C745" s="3" t="str">
        <f>"011609311"</f>
        <v>011609311</v>
      </c>
      <c r="D745" s="3" t="s">
        <v>1578</v>
      </c>
      <c r="E745" s="3"/>
      <c r="F745" s="3" t="s">
        <v>1676</v>
      </c>
      <c r="G745" s="3">
        <v>10.76</v>
      </c>
    </row>
    <row r="746" spans="1:7" x14ac:dyDescent="0.25">
      <c r="A746" s="1" t="s">
        <v>3169</v>
      </c>
      <c r="B746" s="2">
        <v>77</v>
      </c>
      <c r="C746" s="3" t="str">
        <f>"011609312"</f>
        <v>011609312</v>
      </c>
      <c r="D746" s="3" t="s">
        <v>1578</v>
      </c>
      <c r="E746" s="3"/>
      <c r="F746" s="3" t="s">
        <v>1677</v>
      </c>
      <c r="G746" s="3">
        <v>6.56</v>
      </c>
    </row>
    <row r="747" spans="1:7" x14ac:dyDescent="0.25">
      <c r="A747" s="1" t="s">
        <v>3169</v>
      </c>
      <c r="B747" s="2">
        <v>77</v>
      </c>
      <c r="C747" s="3" t="str">
        <f>"011609313"</f>
        <v>011609313</v>
      </c>
      <c r="D747" s="3" t="s">
        <v>1578</v>
      </c>
      <c r="E747" s="3"/>
      <c r="F747" s="3" t="s">
        <v>1678</v>
      </c>
      <c r="G747" s="3">
        <v>9.18</v>
      </c>
    </row>
    <row r="748" spans="1:7" x14ac:dyDescent="0.25">
      <c r="A748" s="1" t="s">
        <v>3169</v>
      </c>
      <c r="B748" s="2">
        <v>77</v>
      </c>
      <c r="C748" s="3" t="str">
        <f>"011609547"</f>
        <v>011609547</v>
      </c>
      <c r="D748" s="3" t="s">
        <v>1679</v>
      </c>
      <c r="E748" s="3"/>
      <c r="F748" s="3" t="s">
        <v>1680</v>
      </c>
      <c r="G748" s="3">
        <v>393.21</v>
      </c>
    </row>
    <row r="749" spans="1:7" x14ac:dyDescent="0.25">
      <c r="A749" s="1" t="s">
        <v>3169</v>
      </c>
      <c r="B749" s="2">
        <v>77</v>
      </c>
      <c r="C749" s="3" t="str">
        <f>"011609737"</f>
        <v>011609737</v>
      </c>
      <c r="D749" s="3" t="s">
        <v>1681</v>
      </c>
      <c r="E749" s="3" t="s">
        <v>1682</v>
      </c>
      <c r="F749" s="3" t="s">
        <v>1683</v>
      </c>
      <c r="G749" s="3">
        <v>659.24</v>
      </c>
    </row>
    <row r="750" spans="1:7" x14ac:dyDescent="0.25">
      <c r="A750" s="1" t="s">
        <v>3169</v>
      </c>
      <c r="B750" s="2">
        <v>77</v>
      </c>
      <c r="C750" s="3" t="str">
        <f>"011609738"</f>
        <v>011609738</v>
      </c>
      <c r="D750" s="3" t="s">
        <v>1681</v>
      </c>
      <c r="E750" s="3"/>
      <c r="F750" s="3" t="s">
        <v>1683</v>
      </c>
      <c r="G750" s="3">
        <v>5.22</v>
      </c>
    </row>
    <row r="751" spans="1:7" x14ac:dyDescent="0.25">
      <c r="A751" s="1" t="s">
        <v>3169</v>
      </c>
      <c r="B751" s="2">
        <v>77</v>
      </c>
      <c r="C751" s="3" t="str">
        <f>"011609739"</f>
        <v>011609739</v>
      </c>
      <c r="D751" s="3" t="s">
        <v>1681</v>
      </c>
      <c r="E751" s="3" t="s">
        <v>1684</v>
      </c>
      <c r="F751" s="3" t="s">
        <v>1685</v>
      </c>
      <c r="G751" s="3">
        <v>191.18</v>
      </c>
    </row>
    <row r="752" spans="1:7" x14ac:dyDescent="0.25">
      <c r="A752" s="1" t="s">
        <v>3169</v>
      </c>
      <c r="B752" s="2">
        <v>77</v>
      </c>
      <c r="C752" s="3" t="str">
        <f>"011609740"</f>
        <v>011609740</v>
      </c>
      <c r="D752" s="3" t="s">
        <v>1681</v>
      </c>
      <c r="E752" s="3" t="s">
        <v>1686</v>
      </c>
      <c r="F752" s="3" t="s">
        <v>1687</v>
      </c>
      <c r="G752" s="3">
        <v>382.36</v>
      </c>
    </row>
    <row r="753" spans="1:7" x14ac:dyDescent="0.25">
      <c r="A753" s="1" t="s">
        <v>3169</v>
      </c>
      <c r="B753" s="2">
        <v>77</v>
      </c>
      <c r="C753" s="3" t="str">
        <f>"011609741"</f>
        <v>011609741</v>
      </c>
      <c r="D753" s="3" t="s">
        <v>1681</v>
      </c>
      <c r="E753" s="3" t="s">
        <v>1688</v>
      </c>
      <c r="F753" s="3" t="s">
        <v>1689</v>
      </c>
      <c r="G753" s="3">
        <v>382.36</v>
      </c>
    </row>
    <row r="754" spans="1:7" x14ac:dyDescent="0.25">
      <c r="A754" s="1" t="s">
        <v>3169</v>
      </c>
      <c r="B754" s="2">
        <v>77</v>
      </c>
      <c r="C754" s="3" t="str">
        <f>"011609742"</f>
        <v>011609742</v>
      </c>
      <c r="D754" s="3" t="s">
        <v>1681</v>
      </c>
      <c r="E754" s="3" t="s">
        <v>1690</v>
      </c>
      <c r="F754" s="3" t="s">
        <v>1691</v>
      </c>
      <c r="G754" s="3">
        <v>382.36</v>
      </c>
    </row>
    <row r="755" spans="1:7" x14ac:dyDescent="0.25">
      <c r="A755" s="1" t="s">
        <v>3169</v>
      </c>
      <c r="B755" s="2">
        <v>77</v>
      </c>
      <c r="C755" s="3" t="str">
        <f>"011609743"</f>
        <v>011609743</v>
      </c>
      <c r="D755" s="3" t="s">
        <v>1681</v>
      </c>
      <c r="E755" s="3" t="s">
        <v>1692</v>
      </c>
      <c r="F755" s="3" t="s">
        <v>1693</v>
      </c>
      <c r="G755" s="3">
        <v>382.36</v>
      </c>
    </row>
    <row r="756" spans="1:7" x14ac:dyDescent="0.25">
      <c r="A756" s="1" t="s">
        <v>3169</v>
      </c>
      <c r="B756" s="2">
        <v>77</v>
      </c>
      <c r="C756" s="3" t="str">
        <f>"011609748"</f>
        <v>011609748</v>
      </c>
      <c r="D756" s="3" t="s">
        <v>1681</v>
      </c>
      <c r="E756" s="3" t="s">
        <v>1694</v>
      </c>
      <c r="F756" s="3" t="s">
        <v>1695</v>
      </c>
      <c r="G756" s="3">
        <v>382.36</v>
      </c>
    </row>
    <row r="757" spans="1:7" x14ac:dyDescent="0.25">
      <c r="A757" s="1" t="s">
        <v>3169</v>
      </c>
      <c r="B757" s="2">
        <v>77</v>
      </c>
      <c r="C757" s="3" t="str">
        <f>"011609749"</f>
        <v>011609749</v>
      </c>
      <c r="D757" s="3" t="s">
        <v>1681</v>
      </c>
      <c r="E757" s="3" t="s">
        <v>1696</v>
      </c>
      <c r="F757" s="3" t="s">
        <v>1697</v>
      </c>
      <c r="G757" s="3">
        <v>382.36</v>
      </c>
    </row>
    <row r="758" spans="1:7" x14ac:dyDescent="0.25">
      <c r="A758" s="1" t="s">
        <v>3169</v>
      </c>
      <c r="B758" s="2">
        <v>77</v>
      </c>
      <c r="C758" s="3" t="str">
        <f>"011609750"</f>
        <v>011609750</v>
      </c>
      <c r="D758" s="3" t="s">
        <v>1681</v>
      </c>
      <c r="E758" s="3" t="s">
        <v>1698</v>
      </c>
      <c r="F758" s="3" t="s">
        <v>1699</v>
      </c>
      <c r="G758" s="3">
        <v>382.36</v>
      </c>
    </row>
    <row r="759" spans="1:7" x14ac:dyDescent="0.25">
      <c r="A759" s="1" t="s">
        <v>3169</v>
      </c>
      <c r="B759" s="2">
        <v>77</v>
      </c>
      <c r="C759" s="3" t="str">
        <f>"011609751"</f>
        <v>011609751</v>
      </c>
      <c r="D759" s="3" t="s">
        <v>1681</v>
      </c>
      <c r="E759" s="3" t="s">
        <v>1700</v>
      </c>
      <c r="F759" s="3" t="s">
        <v>1701</v>
      </c>
      <c r="G759" s="3">
        <v>382.36</v>
      </c>
    </row>
    <row r="760" spans="1:7" x14ac:dyDescent="0.25">
      <c r="A760" s="1" t="s">
        <v>3169</v>
      </c>
      <c r="B760" s="2">
        <v>77</v>
      </c>
      <c r="C760" s="3" t="str">
        <f>"011609752"</f>
        <v>011609752</v>
      </c>
      <c r="D760" s="3" t="s">
        <v>1681</v>
      </c>
      <c r="E760" s="3" t="s">
        <v>1702</v>
      </c>
      <c r="F760" s="3" t="s">
        <v>1703</v>
      </c>
      <c r="G760" s="3">
        <v>382.36</v>
      </c>
    </row>
    <row r="761" spans="1:7" x14ac:dyDescent="0.25">
      <c r="A761" s="1" t="s">
        <v>3169</v>
      </c>
      <c r="B761" s="2">
        <v>77</v>
      </c>
      <c r="C761" s="3" t="str">
        <f>"011609753"</f>
        <v>011609753</v>
      </c>
      <c r="D761" s="3" t="s">
        <v>1681</v>
      </c>
      <c r="E761" s="3" t="s">
        <v>1704</v>
      </c>
      <c r="F761" s="3" t="s">
        <v>1705</v>
      </c>
      <c r="G761" s="3">
        <v>382.36</v>
      </c>
    </row>
    <row r="762" spans="1:7" x14ac:dyDescent="0.25">
      <c r="A762" s="1" t="s">
        <v>3169</v>
      </c>
      <c r="B762" s="2">
        <v>77</v>
      </c>
      <c r="C762" s="3" t="str">
        <f>"011609754"</f>
        <v>011609754</v>
      </c>
      <c r="D762" s="3" t="s">
        <v>1681</v>
      </c>
      <c r="E762" s="3" t="s">
        <v>1706</v>
      </c>
      <c r="F762" s="3" t="s">
        <v>1707</v>
      </c>
      <c r="G762" s="3">
        <v>382.36</v>
      </c>
    </row>
    <row r="763" spans="1:7" x14ac:dyDescent="0.25">
      <c r="A763" s="1" t="s">
        <v>3169</v>
      </c>
      <c r="B763" s="2">
        <v>77</v>
      </c>
      <c r="C763" s="3" t="str">
        <f>"011609755"</f>
        <v>011609755</v>
      </c>
      <c r="D763" s="3" t="s">
        <v>1681</v>
      </c>
      <c r="E763" s="3" t="s">
        <v>1708</v>
      </c>
      <c r="F763" s="3" t="s">
        <v>1709</v>
      </c>
      <c r="G763" s="3">
        <v>382.36</v>
      </c>
    </row>
    <row r="764" spans="1:7" x14ac:dyDescent="0.25">
      <c r="A764" s="1" t="s">
        <v>3169</v>
      </c>
      <c r="B764" s="2">
        <v>77</v>
      </c>
      <c r="C764" s="3" t="str">
        <f>"011609756"</f>
        <v>011609756</v>
      </c>
      <c r="D764" s="3" t="s">
        <v>1681</v>
      </c>
      <c r="E764" s="3" t="s">
        <v>1710</v>
      </c>
      <c r="F764" s="3" t="s">
        <v>1711</v>
      </c>
      <c r="G764" s="3">
        <v>382.36</v>
      </c>
    </row>
    <row r="765" spans="1:7" x14ac:dyDescent="0.25">
      <c r="A765" s="1" t="s">
        <v>3169</v>
      </c>
      <c r="B765" s="2">
        <v>77</v>
      </c>
      <c r="C765" s="3" t="str">
        <f>"011609757"</f>
        <v>011609757</v>
      </c>
      <c r="D765" s="3" t="s">
        <v>1681</v>
      </c>
      <c r="E765" s="3"/>
      <c r="F765" s="3" t="s">
        <v>1712</v>
      </c>
      <c r="G765" s="3">
        <v>382.36</v>
      </c>
    </row>
    <row r="766" spans="1:7" x14ac:dyDescent="0.25">
      <c r="A766" s="1" t="s">
        <v>3169</v>
      </c>
      <c r="B766" s="2">
        <v>77</v>
      </c>
      <c r="C766" s="3" t="str">
        <f>"011609758"</f>
        <v>011609758</v>
      </c>
      <c r="D766" s="3" t="s">
        <v>1681</v>
      </c>
      <c r="E766" s="3" t="s">
        <v>1713</v>
      </c>
      <c r="F766" s="3" t="s">
        <v>1714</v>
      </c>
      <c r="G766" s="3">
        <v>382.36</v>
      </c>
    </row>
    <row r="767" spans="1:7" x14ac:dyDescent="0.25">
      <c r="A767" s="1" t="s">
        <v>3169</v>
      </c>
      <c r="B767" s="2">
        <v>77</v>
      </c>
      <c r="C767" s="3" t="str">
        <f>"011609759"</f>
        <v>011609759</v>
      </c>
      <c r="D767" s="3" t="s">
        <v>1681</v>
      </c>
      <c r="E767" s="3" t="s">
        <v>1715</v>
      </c>
      <c r="F767" s="3" t="s">
        <v>1716</v>
      </c>
      <c r="G767" s="3">
        <v>382.36</v>
      </c>
    </row>
    <row r="768" spans="1:7" x14ac:dyDescent="0.25">
      <c r="A768" s="1" t="s">
        <v>3169</v>
      </c>
      <c r="B768" s="2">
        <v>77</v>
      </c>
      <c r="C768" s="3" t="str">
        <f>"011609760"</f>
        <v>011609760</v>
      </c>
      <c r="D768" s="3" t="s">
        <v>1681</v>
      </c>
      <c r="E768" s="3" t="s">
        <v>1717</v>
      </c>
      <c r="F768" s="3" t="s">
        <v>1718</v>
      </c>
      <c r="G768" s="3">
        <v>382.36</v>
      </c>
    </row>
    <row r="769" spans="1:7" x14ac:dyDescent="0.25">
      <c r="A769" s="1" t="s">
        <v>3169</v>
      </c>
      <c r="B769" s="2">
        <v>77</v>
      </c>
      <c r="C769" s="3" t="str">
        <f>"011609761"</f>
        <v>011609761</v>
      </c>
      <c r="D769" s="3" t="s">
        <v>1681</v>
      </c>
      <c r="E769" s="3" t="s">
        <v>1719</v>
      </c>
      <c r="F769" s="3" t="s">
        <v>1720</v>
      </c>
      <c r="G769" s="3">
        <v>382.36</v>
      </c>
    </row>
    <row r="770" spans="1:7" x14ac:dyDescent="0.25">
      <c r="A770" s="1" t="s">
        <v>3169</v>
      </c>
      <c r="B770" s="2">
        <v>77</v>
      </c>
      <c r="C770" s="3" t="str">
        <f>"011609762"</f>
        <v>011609762</v>
      </c>
      <c r="D770" s="3" t="s">
        <v>1681</v>
      </c>
      <c r="E770" s="3" t="s">
        <v>1721</v>
      </c>
      <c r="F770" s="3" t="s">
        <v>1722</v>
      </c>
      <c r="G770" s="3">
        <v>382.36</v>
      </c>
    </row>
    <row r="771" spans="1:7" x14ac:dyDescent="0.25">
      <c r="A771" s="1" t="s">
        <v>3169</v>
      </c>
      <c r="B771" s="2">
        <v>77</v>
      </c>
      <c r="C771" s="3" t="str">
        <f>"011609763"</f>
        <v>011609763</v>
      </c>
      <c r="D771" s="3" t="s">
        <v>1681</v>
      </c>
      <c r="E771" s="3" t="s">
        <v>1723</v>
      </c>
      <c r="F771" s="3" t="s">
        <v>1724</v>
      </c>
      <c r="G771" s="3">
        <v>382.36</v>
      </c>
    </row>
    <row r="772" spans="1:7" x14ac:dyDescent="0.25">
      <c r="A772" s="1" t="s">
        <v>3169</v>
      </c>
      <c r="B772" s="2">
        <v>77</v>
      </c>
      <c r="C772" s="3" t="str">
        <f>"011609766"</f>
        <v>011609766</v>
      </c>
      <c r="D772" s="3" t="s">
        <v>1681</v>
      </c>
      <c r="E772" s="3" t="s">
        <v>1725</v>
      </c>
      <c r="F772" s="3" t="s">
        <v>1726</v>
      </c>
      <c r="G772" s="3">
        <v>382.36</v>
      </c>
    </row>
    <row r="773" spans="1:7" x14ac:dyDescent="0.25">
      <c r="A773" s="1" t="s">
        <v>3169</v>
      </c>
      <c r="B773" s="2">
        <v>77</v>
      </c>
      <c r="C773" s="3" t="str">
        <f>"011609767"</f>
        <v>011609767</v>
      </c>
      <c r="D773" s="3" t="s">
        <v>1681</v>
      </c>
      <c r="E773" s="3" t="s">
        <v>1727</v>
      </c>
      <c r="F773" s="3" t="s">
        <v>1728</v>
      </c>
      <c r="G773" s="3">
        <v>382.36</v>
      </c>
    </row>
    <row r="774" spans="1:7" x14ac:dyDescent="0.25">
      <c r="A774" s="1" t="s">
        <v>3169</v>
      </c>
      <c r="B774" s="2">
        <v>77</v>
      </c>
      <c r="C774" s="3" t="str">
        <f>"011609768"</f>
        <v>011609768</v>
      </c>
      <c r="D774" s="3" t="s">
        <v>1681</v>
      </c>
      <c r="E774" s="3" t="s">
        <v>1729</v>
      </c>
      <c r="F774" s="3" t="s">
        <v>1730</v>
      </c>
      <c r="G774" s="3">
        <v>382.36</v>
      </c>
    </row>
    <row r="775" spans="1:7" x14ac:dyDescent="0.25">
      <c r="A775" s="1" t="s">
        <v>3169</v>
      </c>
      <c r="B775" s="2">
        <v>77</v>
      </c>
      <c r="C775" s="3" t="str">
        <f>"011609769"</f>
        <v>011609769</v>
      </c>
      <c r="D775" s="3" t="s">
        <v>1681</v>
      </c>
      <c r="E775" s="3" t="s">
        <v>1731</v>
      </c>
      <c r="F775" s="3" t="s">
        <v>1732</v>
      </c>
      <c r="G775" s="3">
        <v>382.36</v>
      </c>
    </row>
    <row r="776" spans="1:7" x14ac:dyDescent="0.25">
      <c r="A776" s="1" t="s">
        <v>3169</v>
      </c>
      <c r="B776" s="2">
        <v>77</v>
      </c>
      <c r="C776" s="3" t="str">
        <f>"011609770"</f>
        <v>011609770</v>
      </c>
      <c r="D776" s="3" t="s">
        <v>1681</v>
      </c>
      <c r="E776" s="3" t="s">
        <v>1733</v>
      </c>
      <c r="F776" s="3" t="s">
        <v>1734</v>
      </c>
      <c r="G776" s="3">
        <v>382.36</v>
      </c>
    </row>
    <row r="777" spans="1:7" x14ac:dyDescent="0.25">
      <c r="A777" s="1" t="s">
        <v>3169</v>
      </c>
      <c r="B777" s="2">
        <v>77</v>
      </c>
      <c r="C777" s="3" t="str">
        <f>"011609771"</f>
        <v>011609771</v>
      </c>
      <c r="D777" s="3" t="s">
        <v>1681</v>
      </c>
      <c r="E777" s="3" t="s">
        <v>1735</v>
      </c>
      <c r="F777" s="3" t="s">
        <v>1736</v>
      </c>
      <c r="G777" s="3">
        <v>382.36</v>
      </c>
    </row>
    <row r="778" spans="1:7" x14ac:dyDescent="0.25">
      <c r="A778" s="1" t="s">
        <v>3169</v>
      </c>
      <c r="B778" s="2">
        <v>77</v>
      </c>
      <c r="C778" s="3" t="str">
        <f>"011609772"</f>
        <v>011609772</v>
      </c>
      <c r="D778" s="3" t="s">
        <v>1681</v>
      </c>
      <c r="E778" s="3" t="s">
        <v>1737</v>
      </c>
      <c r="F778" s="3" t="s">
        <v>1738</v>
      </c>
      <c r="G778" s="3">
        <v>382.36</v>
      </c>
    </row>
    <row r="779" spans="1:7" x14ac:dyDescent="0.25">
      <c r="A779" s="1" t="s">
        <v>3169</v>
      </c>
      <c r="B779" s="2">
        <v>77</v>
      </c>
      <c r="C779" s="3" t="str">
        <f>"011609773"</f>
        <v>011609773</v>
      </c>
      <c r="D779" s="3" t="s">
        <v>1681</v>
      </c>
      <c r="E779" s="3" t="s">
        <v>1739</v>
      </c>
      <c r="F779" s="3" t="s">
        <v>1740</v>
      </c>
      <c r="G779" s="3">
        <v>382.36</v>
      </c>
    </row>
    <row r="780" spans="1:7" x14ac:dyDescent="0.25">
      <c r="A780" s="1" t="s">
        <v>3169</v>
      </c>
      <c r="B780" s="2">
        <v>77</v>
      </c>
      <c r="C780" s="3" t="str">
        <f>"011609774"</f>
        <v>011609774</v>
      </c>
      <c r="D780" s="3" t="s">
        <v>1681</v>
      </c>
      <c r="E780" s="3" t="s">
        <v>1741</v>
      </c>
      <c r="F780" s="3" t="s">
        <v>1742</v>
      </c>
      <c r="G780" s="3">
        <v>382.36</v>
      </c>
    </row>
    <row r="781" spans="1:7" x14ac:dyDescent="0.25">
      <c r="A781" s="1" t="s">
        <v>3169</v>
      </c>
      <c r="B781" s="2">
        <v>77</v>
      </c>
      <c r="C781" s="3" t="str">
        <f>"011609775"</f>
        <v>011609775</v>
      </c>
      <c r="D781" s="3" t="s">
        <v>1681</v>
      </c>
      <c r="E781" s="3" t="s">
        <v>1743</v>
      </c>
      <c r="F781" s="3" t="s">
        <v>1744</v>
      </c>
      <c r="G781" s="3">
        <v>382.36</v>
      </c>
    </row>
    <row r="782" spans="1:7" x14ac:dyDescent="0.25">
      <c r="A782" s="1" t="s">
        <v>3169</v>
      </c>
      <c r="B782" s="2">
        <v>77</v>
      </c>
      <c r="C782" s="3" t="str">
        <f>"011609818"</f>
        <v>011609818</v>
      </c>
      <c r="D782" s="3" t="s">
        <v>1681</v>
      </c>
      <c r="E782" s="3" t="s">
        <v>1745</v>
      </c>
      <c r="F782" s="3" t="s">
        <v>1746</v>
      </c>
      <c r="G782" s="3">
        <v>382.36</v>
      </c>
    </row>
    <row r="783" spans="1:7" x14ac:dyDescent="0.25">
      <c r="A783" s="1" t="s">
        <v>3169</v>
      </c>
      <c r="B783" s="2">
        <v>77</v>
      </c>
      <c r="C783" s="3" t="str">
        <f>"011609819"</f>
        <v>011609819</v>
      </c>
      <c r="D783" s="3" t="s">
        <v>1681</v>
      </c>
      <c r="E783" s="3" t="s">
        <v>1747</v>
      </c>
      <c r="F783" s="3" t="s">
        <v>1748</v>
      </c>
      <c r="G783" s="3">
        <v>382.36</v>
      </c>
    </row>
    <row r="784" spans="1:7" x14ac:dyDescent="0.25">
      <c r="A784" s="1" t="s">
        <v>3169</v>
      </c>
      <c r="B784" s="2">
        <v>77</v>
      </c>
      <c r="C784" s="3" t="str">
        <f>"011609820"</f>
        <v>011609820</v>
      </c>
      <c r="D784" s="3" t="s">
        <v>1681</v>
      </c>
      <c r="E784" s="3" t="s">
        <v>1749</v>
      </c>
      <c r="F784" s="3" t="s">
        <v>1750</v>
      </c>
      <c r="G784" s="3">
        <v>382.36</v>
      </c>
    </row>
    <row r="785" spans="1:7" x14ac:dyDescent="0.25">
      <c r="A785" s="1" t="s">
        <v>3169</v>
      </c>
      <c r="B785" s="2">
        <v>77</v>
      </c>
      <c r="C785" s="3" t="str">
        <f>"011609821"</f>
        <v>011609821</v>
      </c>
      <c r="D785" s="3" t="s">
        <v>1681</v>
      </c>
      <c r="E785" s="3" t="s">
        <v>1751</v>
      </c>
      <c r="F785" s="3" t="s">
        <v>1752</v>
      </c>
      <c r="G785" s="3">
        <v>382.36</v>
      </c>
    </row>
    <row r="786" spans="1:7" x14ac:dyDescent="0.25">
      <c r="A786" s="1" t="s">
        <v>3169</v>
      </c>
      <c r="B786" s="2">
        <v>77</v>
      </c>
      <c r="C786" s="3" t="str">
        <f>"011609822"</f>
        <v>011609822</v>
      </c>
      <c r="D786" s="3" t="s">
        <v>1681</v>
      </c>
      <c r="E786" s="3" t="s">
        <v>1753</v>
      </c>
      <c r="F786" s="3" t="s">
        <v>1754</v>
      </c>
      <c r="G786" s="3">
        <v>382.36</v>
      </c>
    </row>
    <row r="787" spans="1:7" x14ac:dyDescent="0.25">
      <c r="A787" s="1" t="s">
        <v>3169</v>
      </c>
      <c r="B787" s="2">
        <v>77</v>
      </c>
      <c r="C787" s="3" t="str">
        <f>"011609823"</f>
        <v>011609823</v>
      </c>
      <c r="D787" s="3" t="s">
        <v>1681</v>
      </c>
      <c r="E787" s="3" t="s">
        <v>1755</v>
      </c>
      <c r="F787" s="3" t="s">
        <v>1756</v>
      </c>
      <c r="G787" s="3">
        <v>382.36</v>
      </c>
    </row>
    <row r="788" spans="1:7" x14ac:dyDescent="0.25">
      <c r="A788" s="1" t="s">
        <v>3169</v>
      </c>
      <c r="B788" s="2">
        <v>77</v>
      </c>
      <c r="C788" s="3" t="str">
        <f>"011609824"</f>
        <v>011609824</v>
      </c>
      <c r="D788" s="3" t="s">
        <v>1681</v>
      </c>
      <c r="E788" s="3"/>
      <c r="F788" s="3" t="s">
        <v>1757</v>
      </c>
      <c r="G788" s="3">
        <v>382.36</v>
      </c>
    </row>
    <row r="789" spans="1:7" x14ac:dyDescent="0.25">
      <c r="A789" s="1" t="s">
        <v>3169</v>
      </c>
      <c r="B789" s="2">
        <v>77</v>
      </c>
      <c r="C789" s="3" t="str">
        <f>"011609825"</f>
        <v>011609825</v>
      </c>
      <c r="D789" s="3" t="s">
        <v>1681</v>
      </c>
      <c r="E789" s="3" t="s">
        <v>1758</v>
      </c>
      <c r="F789" s="3" t="s">
        <v>1759</v>
      </c>
      <c r="G789" s="3">
        <v>382.36</v>
      </c>
    </row>
    <row r="790" spans="1:7" x14ac:dyDescent="0.25">
      <c r="A790" s="1" t="s">
        <v>3169</v>
      </c>
      <c r="B790" s="2">
        <v>77</v>
      </c>
      <c r="C790" s="3" t="str">
        <f>"011609826"</f>
        <v>011609826</v>
      </c>
      <c r="D790" s="3" t="s">
        <v>1681</v>
      </c>
      <c r="E790" s="3" t="s">
        <v>1760</v>
      </c>
      <c r="F790" s="3" t="s">
        <v>1761</v>
      </c>
      <c r="G790" s="3">
        <v>382.36</v>
      </c>
    </row>
    <row r="791" spans="1:7" x14ac:dyDescent="0.25">
      <c r="A791" s="1" t="s">
        <v>3169</v>
      </c>
      <c r="B791" s="2">
        <v>77</v>
      </c>
      <c r="C791" s="3" t="str">
        <f>"011609827"</f>
        <v>011609827</v>
      </c>
      <c r="D791" s="3" t="s">
        <v>1681</v>
      </c>
      <c r="E791" s="3" t="s">
        <v>1762</v>
      </c>
      <c r="F791" s="3" t="s">
        <v>1763</v>
      </c>
      <c r="G791" s="3">
        <v>382.36</v>
      </c>
    </row>
    <row r="792" spans="1:7" x14ac:dyDescent="0.25">
      <c r="A792" s="1" t="s">
        <v>3169</v>
      </c>
      <c r="B792" s="2">
        <v>77</v>
      </c>
      <c r="C792" s="3" t="str">
        <f>"011609828"</f>
        <v>011609828</v>
      </c>
      <c r="D792" s="3" t="s">
        <v>1681</v>
      </c>
      <c r="E792" s="3" t="s">
        <v>1764</v>
      </c>
      <c r="F792" s="3" t="s">
        <v>1765</v>
      </c>
      <c r="G792" s="3">
        <v>382.36</v>
      </c>
    </row>
    <row r="793" spans="1:7" x14ac:dyDescent="0.25">
      <c r="A793" s="1" t="s">
        <v>3169</v>
      </c>
      <c r="B793" s="2">
        <v>77</v>
      </c>
      <c r="C793" s="3" t="str">
        <f>"011609829"</f>
        <v>011609829</v>
      </c>
      <c r="D793" s="3" t="s">
        <v>1681</v>
      </c>
      <c r="E793" s="3" t="s">
        <v>1766</v>
      </c>
      <c r="F793" s="3" t="s">
        <v>1767</v>
      </c>
      <c r="G793" s="3">
        <v>382.36</v>
      </c>
    </row>
    <row r="794" spans="1:7" x14ac:dyDescent="0.25">
      <c r="A794" s="1" t="s">
        <v>3169</v>
      </c>
      <c r="B794" s="2">
        <v>77</v>
      </c>
      <c r="C794" s="3" t="str">
        <f>"011609830"</f>
        <v>011609830</v>
      </c>
      <c r="D794" s="3" t="s">
        <v>1681</v>
      </c>
      <c r="E794" s="3" t="s">
        <v>1768</v>
      </c>
      <c r="F794" s="3" t="s">
        <v>1769</v>
      </c>
      <c r="G794" s="3">
        <v>382.36</v>
      </c>
    </row>
    <row r="795" spans="1:7" x14ac:dyDescent="0.25">
      <c r="A795" s="1" t="s">
        <v>3169</v>
      </c>
      <c r="B795" s="2">
        <v>77</v>
      </c>
      <c r="C795" s="3" t="str">
        <f>"011609831"</f>
        <v>011609831</v>
      </c>
      <c r="D795" s="3" t="s">
        <v>1681</v>
      </c>
      <c r="E795" s="3" t="s">
        <v>1770</v>
      </c>
      <c r="F795" s="3" t="s">
        <v>1771</v>
      </c>
      <c r="G795" s="3">
        <v>382.36</v>
      </c>
    </row>
    <row r="796" spans="1:7" x14ac:dyDescent="0.25">
      <c r="A796" s="1" t="s">
        <v>3169</v>
      </c>
      <c r="B796" s="2">
        <v>77</v>
      </c>
      <c r="C796" s="3" t="str">
        <f>"011609832"</f>
        <v>011609832</v>
      </c>
      <c r="D796" s="3" t="s">
        <v>1681</v>
      </c>
      <c r="E796" s="3" t="s">
        <v>1772</v>
      </c>
      <c r="F796" s="3" t="s">
        <v>1773</v>
      </c>
      <c r="G796" s="3">
        <v>382.36</v>
      </c>
    </row>
    <row r="797" spans="1:7" x14ac:dyDescent="0.25">
      <c r="A797" s="1" t="s">
        <v>3169</v>
      </c>
      <c r="B797" s="2">
        <v>77</v>
      </c>
      <c r="C797" s="3" t="str">
        <f>"011609833"</f>
        <v>011609833</v>
      </c>
      <c r="D797" s="3" t="s">
        <v>1681</v>
      </c>
      <c r="E797" s="3" t="s">
        <v>1774</v>
      </c>
      <c r="F797" s="3" t="s">
        <v>1775</v>
      </c>
      <c r="G797" s="3">
        <v>382.36</v>
      </c>
    </row>
    <row r="798" spans="1:7" x14ac:dyDescent="0.25">
      <c r="A798" s="1" t="s">
        <v>3169</v>
      </c>
      <c r="B798" s="2">
        <v>77</v>
      </c>
      <c r="C798" s="3" t="str">
        <f>"011609834"</f>
        <v>011609834</v>
      </c>
      <c r="D798" s="3" t="s">
        <v>1681</v>
      </c>
      <c r="E798" s="3" t="s">
        <v>1776</v>
      </c>
      <c r="F798" s="3" t="s">
        <v>1777</v>
      </c>
      <c r="G798" s="3">
        <v>382.36</v>
      </c>
    </row>
    <row r="799" spans="1:7" x14ac:dyDescent="0.25">
      <c r="A799" s="1" t="s">
        <v>3169</v>
      </c>
      <c r="B799" s="2">
        <v>77</v>
      </c>
      <c r="C799" s="3" t="str">
        <f>"011609835"</f>
        <v>011609835</v>
      </c>
      <c r="D799" s="3" t="s">
        <v>1681</v>
      </c>
      <c r="E799" s="3" t="s">
        <v>1778</v>
      </c>
      <c r="F799" s="3" t="s">
        <v>1779</v>
      </c>
      <c r="G799" s="3">
        <v>382.36</v>
      </c>
    </row>
    <row r="800" spans="1:7" x14ac:dyDescent="0.25">
      <c r="A800" s="1" t="s">
        <v>3169</v>
      </c>
      <c r="B800" s="2">
        <v>77</v>
      </c>
      <c r="C800" s="3" t="str">
        <f>"011609836"</f>
        <v>011609836</v>
      </c>
      <c r="D800" s="3" t="s">
        <v>1681</v>
      </c>
      <c r="E800" s="3" t="s">
        <v>1780</v>
      </c>
      <c r="F800" s="3" t="s">
        <v>1781</v>
      </c>
      <c r="G800" s="3">
        <v>382.36</v>
      </c>
    </row>
    <row r="801" spans="1:7" x14ac:dyDescent="0.25">
      <c r="A801" s="1" t="s">
        <v>3169</v>
      </c>
      <c r="B801" s="2">
        <v>77</v>
      </c>
      <c r="C801" s="3" t="str">
        <f>"011609837"</f>
        <v>011609837</v>
      </c>
      <c r="D801" s="3" t="s">
        <v>1681</v>
      </c>
      <c r="E801" s="3" t="s">
        <v>1782</v>
      </c>
      <c r="F801" s="3" t="s">
        <v>1783</v>
      </c>
      <c r="G801" s="3">
        <v>382.36</v>
      </c>
    </row>
    <row r="802" spans="1:7" x14ac:dyDescent="0.25">
      <c r="A802" s="1" t="s">
        <v>3169</v>
      </c>
      <c r="B802" s="2">
        <v>77</v>
      </c>
      <c r="C802" s="3" t="str">
        <f>"011609838"</f>
        <v>011609838</v>
      </c>
      <c r="D802" s="3" t="s">
        <v>1681</v>
      </c>
      <c r="E802" s="3" t="s">
        <v>1784</v>
      </c>
      <c r="F802" s="3" t="s">
        <v>1785</v>
      </c>
      <c r="G802" s="3">
        <v>382.36</v>
      </c>
    </row>
    <row r="803" spans="1:7" x14ac:dyDescent="0.25">
      <c r="A803" s="1" t="s">
        <v>3169</v>
      </c>
      <c r="B803" s="2">
        <v>77</v>
      </c>
      <c r="C803" s="3" t="str">
        <f>"011609844"</f>
        <v>011609844</v>
      </c>
      <c r="D803" s="3" t="s">
        <v>1681</v>
      </c>
      <c r="E803" s="3" t="s">
        <v>1786</v>
      </c>
      <c r="F803" s="3" t="s">
        <v>1787</v>
      </c>
      <c r="G803" s="3">
        <v>382.36</v>
      </c>
    </row>
    <row r="804" spans="1:7" x14ac:dyDescent="0.25">
      <c r="A804" s="1" t="s">
        <v>3169</v>
      </c>
      <c r="B804" s="2">
        <v>77</v>
      </c>
      <c r="C804" s="3" t="str">
        <f>"011609845"</f>
        <v>011609845</v>
      </c>
      <c r="D804" s="3" t="s">
        <v>1681</v>
      </c>
      <c r="E804" s="3" t="s">
        <v>1788</v>
      </c>
      <c r="F804" s="3" t="s">
        <v>1789</v>
      </c>
      <c r="G804" s="3">
        <v>382.36</v>
      </c>
    </row>
    <row r="805" spans="1:7" x14ac:dyDescent="0.25">
      <c r="A805" s="1" t="s">
        <v>3169</v>
      </c>
      <c r="B805" s="2">
        <v>77</v>
      </c>
      <c r="C805" s="3" t="str">
        <f>"011609846"</f>
        <v>011609846</v>
      </c>
      <c r="D805" s="3" t="s">
        <v>1681</v>
      </c>
      <c r="E805" s="3" t="s">
        <v>1790</v>
      </c>
      <c r="F805" s="3" t="s">
        <v>1791</v>
      </c>
      <c r="G805" s="3">
        <v>382.36</v>
      </c>
    </row>
    <row r="806" spans="1:7" x14ac:dyDescent="0.25">
      <c r="A806" s="1" t="s">
        <v>3169</v>
      </c>
      <c r="B806" s="2">
        <v>77</v>
      </c>
      <c r="C806" s="3" t="str">
        <f>"011609847"</f>
        <v>011609847</v>
      </c>
      <c r="D806" s="3" t="s">
        <v>1681</v>
      </c>
      <c r="E806" s="3" t="s">
        <v>1792</v>
      </c>
      <c r="F806" s="3" t="s">
        <v>1793</v>
      </c>
      <c r="G806" s="3">
        <v>382.36</v>
      </c>
    </row>
    <row r="807" spans="1:7" x14ac:dyDescent="0.25">
      <c r="A807" s="1" t="s">
        <v>3169</v>
      </c>
      <c r="B807" s="2">
        <v>77</v>
      </c>
      <c r="C807" s="3" t="str">
        <f>"011609848"</f>
        <v>011609848</v>
      </c>
      <c r="D807" s="3" t="s">
        <v>1681</v>
      </c>
      <c r="E807" s="3" t="s">
        <v>1794</v>
      </c>
      <c r="F807" s="3" t="s">
        <v>1795</v>
      </c>
      <c r="G807" s="3">
        <v>382.36</v>
      </c>
    </row>
    <row r="808" spans="1:7" x14ac:dyDescent="0.25">
      <c r="A808" s="1" t="s">
        <v>3169</v>
      </c>
      <c r="B808" s="2">
        <v>77</v>
      </c>
      <c r="C808" s="3" t="str">
        <f>"011609849"</f>
        <v>011609849</v>
      </c>
      <c r="D808" s="3" t="s">
        <v>1681</v>
      </c>
      <c r="E808" s="3" t="s">
        <v>1796</v>
      </c>
      <c r="F808" s="3" t="s">
        <v>1797</v>
      </c>
      <c r="G808" s="3">
        <v>382.36</v>
      </c>
    </row>
    <row r="809" spans="1:7" x14ac:dyDescent="0.25">
      <c r="A809" s="1" t="s">
        <v>3169</v>
      </c>
      <c r="B809" s="2">
        <v>77</v>
      </c>
      <c r="C809" s="3" t="str">
        <f>"011609850"</f>
        <v>011609850</v>
      </c>
      <c r="D809" s="3" t="s">
        <v>1681</v>
      </c>
      <c r="E809" s="3" t="s">
        <v>1798</v>
      </c>
      <c r="F809" s="3" t="s">
        <v>1799</v>
      </c>
      <c r="G809" s="3">
        <v>382.36</v>
      </c>
    </row>
    <row r="810" spans="1:7" x14ac:dyDescent="0.25">
      <c r="A810" s="1" t="s">
        <v>3169</v>
      </c>
      <c r="B810" s="2">
        <v>77</v>
      </c>
      <c r="C810" s="3" t="str">
        <f>"011609851"</f>
        <v>011609851</v>
      </c>
      <c r="D810" s="3" t="s">
        <v>1681</v>
      </c>
      <c r="E810" s="3" t="s">
        <v>1800</v>
      </c>
      <c r="F810" s="3" t="s">
        <v>1801</v>
      </c>
      <c r="G810" s="3">
        <v>382.36</v>
      </c>
    </row>
    <row r="811" spans="1:7" x14ac:dyDescent="0.25">
      <c r="A811" s="1" t="s">
        <v>3169</v>
      </c>
      <c r="B811" s="2">
        <v>77</v>
      </c>
      <c r="C811" s="3" t="str">
        <f>"011609852"</f>
        <v>011609852</v>
      </c>
      <c r="D811" s="3" t="s">
        <v>1681</v>
      </c>
      <c r="E811" s="3" t="s">
        <v>1802</v>
      </c>
      <c r="F811" s="3" t="s">
        <v>1803</v>
      </c>
      <c r="G811" s="3">
        <v>382.36</v>
      </c>
    </row>
    <row r="812" spans="1:7" x14ac:dyDescent="0.25">
      <c r="A812" s="1" t="s">
        <v>3169</v>
      </c>
      <c r="B812" s="2">
        <v>77</v>
      </c>
      <c r="C812" s="3" t="str">
        <f>"011609853"</f>
        <v>011609853</v>
      </c>
      <c r="D812" s="3" t="s">
        <v>1681</v>
      </c>
      <c r="E812" s="3" t="s">
        <v>1804</v>
      </c>
      <c r="F812" s="3" t="s">
        <v>1805</v>
      </c>
      <c r="G812" s="3">
        <v>382.36</v>
      </c>
    </row>
    <row r="813" spans="1:7" x14ac:dyDescent="0.25">
      <c r="A813" s="1" t="s">
        <v>3169</v>
      </c>
      <c r="B813" s="2">
        <v>77</v>
      </c>
      <c r="C813" s="3" t="str">
        <f>"011609861"</f>
        <v>011609861</v>
      </c>
      <c r="D813" s="3" t="s">
        <v>1681</v>
      </c>
      <c r="E813" s="3" t="s">
        <v>1806</v>
      </c>
      <c r="F813" s="3" t="s">
        <v>1807</v>
      </c>
      <c r="G813" s="3">
        <v>557.91999999999996</v>
      </c>
    </row>
    <row r="814" spans="1:7" x14ac:dyDescent="0.25">
      <c r="A814" s="1" t="s">
        <v>3169</v>
      </c>
      <c r="B814" s="2">
        <v>77</v>
      </c>
      <c r="C814" s="3" t="str">
        <f>"011609862"</f>
        <v>011609862</v>
      </c>
      <c r="D814" s="3" t="s">
        <v>1681</v>
      </c>
      <c r="E814" s="3" t="s">
        <v>1808</v>
      </c>
      <c r="F814" s="3" t="s">
        <v>1809</v>
      </c>
      <c r="G814" s="3">
        <v>557.91999999999996</v>
      </c>
    </row>
    <row r="815" spans="1:7" x14ac:dyDescent="0.25">
      <c r="A815" s="1" t="s">
        <v>3169</v>
      </c>
      <c r="B815" s="2">
        <v>77</v>
      </c>
      <c r="C815" s="3" t="str">
        <f>"011609866"</f>
        <v>011609866</v>
      </c>
      <c r="D815" s="3" t="s">
        <v>1681</v>
      </c>
      <c r="E815" s="3" t="s">
        <v>1810</v>
      </c>
      <c r="F815" s="3" t="s">
        <v>1811</v>
      </c>
      <c r="G815" s="3">
        <v>557.91999999999996</v>
      </c>
    </row>
    <row r="816" spans="1:7" x14ac:dyDescent="0.25">
      <c r="A816" s="1" t="s">
        <v>3169</v>
      </c>
      <c r="B816" s="2">
        <v>77</v>
      </c>
      <c r="C816" s="3" t="str">
        <f>"011609868"</f>
        <v>011609868</v>
      </c>
      <c r="D816" s="3" t="s">
        <v>1681</v>
      </c>
      <c r="E816" s="3" t="s">
        <v>1812</v>
      </c>
      <c r="F816" s="3" t="s">
        <v>1813</v>
      </c>
      <c r="G816" s="3">
        <v>557.91999999999996</v>
      </c>
    </row>
    <row r="817" spans="1:7" x14ac:dyDescent="0.25">
      <c r="A817" s="1" t="s">
        <v>3169</v>
      </c>
      <c r="B817" s="2">
        <v>77</v>
      </c>
      <c r="C817" s="3" t="str">
        <f>"011609869"</f>
        <v>011609869</v>
      </c>
      <c r="D817" s="3" t="s">
        <v>1681</v>
      </c>
      <c r="E817" s="3" t="s">
        <v>1814</v>
      </c>
      <c r="F817" s="3" t="s">
        <v>1815</v>
      </c>
      <c r="G817" s="3">
        <v>557.91999999999996</v>
      </c>
    </row>
    <row r="818" spans="1:7" x14ac:dyDescent="0.25">
      <c r="A818" s="1" t="s">
        <v>3169</v>
      </c>
      <c r="B818" s="2">
        <v>77</v>
      </c>
      <c r="C818" s="3" t="str">
        <f>"011609870"</f>
        <v>011609870</v>
      </c>
      <c r="D818" s="3" t="s">
        <v>1681</v>
      </c>
      <c r="E818" s="3" t="s">
        <v>1816</v>
      </c>
      <c r="F818" s="3" t="s">
        <v>1817</v>
      </c>
      <c r="G818" s="3">
        <v>557.91999999999996</v>
      </c>
    </row>
    <row r="819" spans="1:7" x14ac:dyDescent="0.25">
      <c r="A819" s="1" t="s">
        <v>3169</v>
      </c>
      <c r="B819" s="2">
        <v>77</v>
      </c>
      <c r="C819" s="3" t="str">
        <f>"011609873"</f>
        <v>011609873</v>
      </c>
      <c r="D819" s="3" t="s">
        <v>1681</v>
      </c>
      <c r="E819" s="3" t="s">
        <v>1818</v>
      </c>
      <c r="F819" s="3" t="s">
        <v>1819</v>
      </c>
      <c r="G819" s="3">
        <v>382.36</v>
      </c>
    </row>
    <row r="820" spans="1:7" x14ac:dyDescent="0.25">
      <c r="A820" s="1" t="s">
        <v>3169</v>
      </c>
      <c r="B820" s="2">
        <v>77</v>
      </c>
      <c r="C820" s="3" t="str">
        <f>"011609874"</f>
        <v>011609874</v>
      </c>
      <c r="D820" s="3" t="s">
        <v>1681</v>
      </c>
      <c r="E820" s="3" t="s">
        <v>1820</v>
      </c>
      <c r="F820" s="3" t="s">
        <v>1821</v>
      </c>
      <c r="G820" s="3">
        <v>382.36</v>
      </c>
    </row>
    <row r="821" spans="1:7" x14ac:dyDescent="0.25">
      <c r="A821" s="1" t="s">
        <v>3169</v>
      </c>
      <c r="B821" s="2">
        <v>77</v>
      </c>
      <c r="C821" s="3" t="str">
        <f>"011609875"</f>
        <v>011609875</v>
      </c>
      <c r="D821" s="3" t="s">
        <v>1681</v>
      </c>
      <c r="E821" s="3" t="s">
        <v>1822</v>
      </c>
      <c r="F821" s="3" t="s">
        <v>1823</v>
      </c>
      <c r="G821" s="3">
        <v>382.36</v>
      </c>
    </row>
    <row r="822" spans="1:7" x14ac:dyDescent="0.25">
      <c r="A822" s="1" t="s">
        <v>3169</v>
      </c>
      <c r="B822" s="2">
        <v>77</v>
      </c>
      <c r="C822" s="3" t="str">
        <f>"011609876"</f>
        <v>011609876</v>
      </c>
      <c r="D822" s="3" t="s">
        <v>1681</v>
      </c>
      <c r="E822" s="3" t="s">
        <v>1824</v>
      </c>
      <c r="F822" s="3" t="s">
        <v>1825</v>
      </c>
      <c r="G822" s="3">
        <v>382.36</v>
      </c>
    </row>
    <row r="823" spans="1:7" x14ac:dyDescent="0.25">
      <c r="A823" s="1" t="s">
        <v>3169</v>
      </c>
      <c r="B823" s="2">
        <v>77</v>
      </c>
      <c r="C823" s="3" t="str">
        <f>"011609877"</f>
        <v>011609877</v>
      </c>
      <c r="D823" s="3" t="s">
        <v>1681</v>
      </c>
      <c r="E823" s="3" t="s">
        <v>1826</v>
      </c>
      <c r="F823" s="3" t="s">
        <v>1827</v>
      </c>
      <c r="G823" s="3">
        <v>557.91999999999996</v>
      </c>
    </row>
    <row r="824" spans="1:7" x14ac:dyDescent="0.25">
      <c r="A824" s="1" t="s">
        <v>3169</v>
      </c>
      <c r="B824" s="2">
        <v>77</v>
      </c>
      <c r="C824" s="3" t="str">
        <f>"011609878"</f>
        <v>011609878</v>
      </c>
      <c r="D824" s="3" t="s">
        <v>1681</v>
      </c>
      <c r="E824" s="3" t="s">
        <v>1828</v>
      </c>
      <c r="F824" s="3" t="s">
        <v>1829</v>
      </c>
      <c r="G824" s="3">
        <v>557.91999999999996</v>
      </c>
    </row>
    <row r="825" spans="1:7" x14ac:dyDescent="0.25">
      <c r="A825" s="1" t="s">
        <v>3169</v>
      </c>
      <c r="B825" s="2">
        <v>77</v>
      </c>
      <c r="C825" s="3" t="str">
        <f>"011609879"</f>
        <v>011609879</v>
      </c>
      <c r="D825" s="3" t="s">
        <v>1681</v>
      </c>
      <c r="E825" s="3" t="s">
        <v>1830</v>
      </c>
      <c r="F825" s="3" t="s">
        <v>1831</v>
      </c>
      <c r="G825" s="3">
        <v>557.91999999999996</v>
      </c>
    </row>
    <row r="826" spans="1:7" x14ac:dyDescent="0.25">
      <c r="A826" s="1" t="s">
        <v>3169</v>
      </c>
      <c r="B826" s="2">
        <v>77</v>
      </c>
      <c r="C826" s="3" t="str">
        <f>"011609880"</f>
        <v>011609880</v>
      </c>
      <c r="D826" s="3" t="s">
        <v>1681</v>
      </c>
      <c r="E826" s="3" t="s">
        <v>1832</v>
      </c>
      <c r="F826" s="3" t="s">
        <v>1833</v>
      </c>
      <c r="G826" s="3">
        <v>557.91999999999996</v>
      </c>
    </row>
    <row r="827" spans="1:7" x14ac:dyDescent="0.25">
      <c r="A827" s="1" t="s">
        <v>3169</v>
      </c>
      <c r="B827" s="2">
        <v>77</v>
      </c>
      <c r="C827" s="3" t="str">
        <f>"011609881"</f>
        <v>011609881</v>
      </c>
      <c r="D827" s="3" t="s">
        <v>1681</v>
      </c>
      <c r="E827" s="3" t="s">
        <v>1834</v>
      </c>
      <c r="F827" s="3" t="s">
        <v>1835</v>
      </c>
      <c r="G827" s="3">
        <v>557.91999999999996</v>
      </c>
    </row>
    <row r="828" spans="1:7" x14ac:dyDescent="0.25">
      <c r="A828" s="1" t="s">
        <v>3169</v>
      </c>
      <c r="B828" s="2">
        <v>77</v>
      </c>
      <c r="C828" s="3" t="str">
        <f>"011609882"</f>
        <v>011609882</v>
      </c>
      <c r="D828" s="3" t="s">
        <v>1681</v>
      </c>
      <c r="E828" s="3" t="s">
        <v>1836</v>
      </c>
      <c r="F828" s="3" t="s">
        <v>1837</v>
      </c>
      <c r="G828" s="3">
        <v>557.91999999999996</v>
      </c>
    </row>
    <row r="829" spans="1:7" x14ac:dyDescent="0.25">
      <c r="A829" s="1" t="s">
        <v>3169</v>
      </c>
      <c r="B829" s="2">
        <v>77</v>
      </c>
      <c r="C829" s="3" t="str">
        <f>"011609883"</f>
        <v>011609883</v>
      </c>
      <c r="D829" s="3" t="s">
        <v>1681</v>
      </c>
      <c r="E829" s="3" t="s">
        <v>1838</v>
      </c>
      <c r="F829" s="3" t="s">
        <v>1839</v>
      </c>
      <c r="G829" s="3">
        <v>557.91999999999996</v>
      </c>
    </row>
    <row r="830" spans="1:7" x14ac:dyDescent="0.25">
      <c r="A830" s="1" t="s">
        <v>3169</v>
      </c>
      <c r="B830" s="2">
        <v>77</v>
      </c>
      <c r="C830" s="3" t="str">
        <f>"011609884"</f>
        <v>011609884</v>
      </c>
      <c r="D830" s="3" t="s">
        <v>1681</v>
      </c>
      <c r="E830" s="3" t="s">
        <v>1840</v>
      </c>
      <c r="F830" s="3" t="s">
        <v>1841</v>
      </c>
      <c r="G830" s="3">
        <v>557.91999999999996</v>
      </c>
    </row>
    <row r="831" spans="1:7" x14ac:dyDescent="0.25">
      <c r="A831" s="1" t="s">
        <v>3169</v>
      </c>
      <c r="B831" s="2">
        <v>77</v>
      </c>
      <c r="C831" s="3" t="str">
        <f>"011609885"</f>
        <v>011609885</v>
      </c>
      <c r="D831" s="3" t="s">
        <v>1681</v>
      </c>
      <c r="E831" s="3" t="s">
        <v>1842</v>
      </c>
      <c r="F831" s="3" t="s">
        <v>1843</v>
      </c>
      <c r="G831" s="3">
        <v>557.91999999999996</v>
      </c>
    </row>
    <row r="832" spans="1:7" x14ac:dyDescent="0.25">
      <c r="A832" s="1" t="s">
        <v>3169</v>
      </c>
      <c r="B832" s="2">
        <v>77</v>
      </c>
      <c r="C832" s="3" t="str">
        <f>"011609887"</f>
        <v>011609887</v>
      </c>
      <c r="D832" s="3" t="s">
        <v>1681</v>
      </c>
      <c r="E832" s="3"/>
      <c r="F832" s="3" t="s">
        <v>1844</v>
      </c>
      <c r="G832" s="3">
        <v>1202.3399999999999</v>
      </c>
    </row>
    <row r="833" spans="1:7" x14ac:dyDescent="0.25">
      <c r="A833" s="1" t="s">
        <v>3169</v>
      </c>
      <c r="B833" s="2">
        <v>77</v>
      </c>
      <c r="C833" s="3" t="str">
        <f>"011609888"</f>
        <v>011609888</v>
      </c>
      <c r="D833" s="3" t="s">
        <v>1681</v>
      </c>
      <c r="E833" s="3"/>
      <c r="F833" s="3" t="s">
        <v>1845</v>
      </c>
      <c r="G833" s="3">
        <v>72.180000000000007</v>
      </c>
    </row>
    <row r="834" spans="1:7" x14ac:dyDescent="0.25">
      <c r="A834" s="1" t="s">
        <v>3169</v>
      </c>
      <c r="B834" s="2">
        <v>77</v>
      </c>
      <c r="C834" s="3" t="str">
        <f>"011609889"</f>
        <v>011609889</v>
      </c>
      <c r="D834" s="3" t="s">
        <v>1681</v>
      </c>
      <c r="E834" s="3"/>
      <c r="F834" s="3" t="s">
        <v>1846</v>
      </c>
      <c r="G834" s="3">
        <v>51.74</v>
      </c>
    </row>
    <row r="835" spans="1:7" x14ac:dyDescent="0.25">
      <c r="A835" s="1" t="s">
        <v>3169</v>
      </c>
      <c r="B835" s="2">
        <v>77</v>
      </c>
      <c r="C835" s="3" t="str">
        <f>"011609890"</f>
        <v>011609890</v>
      </c>
      <c r="D835" s="3" t="s">
        <v>1681</v>
      </c>
      <c r="E835" s="3"/>
      <c r="F835" s="3" t="s">
        <v>1847</v>
      </c>
      <c r="G835" s="3">
        <v>1.22</v>
      </c>
    </row>
    <row r="836" spans="1:7" x14ac:dyDescent="0.25">
      <c r="A836" s="1" t="s">
        <v>3169</v>
      </c>
      <c r="B836" s="2">
        <v>77</v>
      </c>
      <c r="C836" s="3" t="str">
        <f>"011609891"</f>
        <v>011609891</v>
      </c>
      <c r="D836" s="3" t="s">
        <v>1681</v>
      </c>
      <c r="E836" s="3"/>
      <c r="F836" s="3" t="s">
        <v>1848</v>
      </c>
      <c r="G836" s="3">
        <v>4.88</v>
      </c>
    </row>
    <row r="837" spans="1:7" x14ac:dyDescent="0.25">
      <c r="A837" s="1" t="s">
        <v>3169</v>
      </c>
      <c r="B837" s="2">
        <v>77</v>
      </c>
      <c r="C837" s="3" t="str">
        <f>"011609892"</f>
        <v>011609892</v>
      </c>
      <c r="D837" s="3" t="s">
        <v>1681</v>
      </c>
      <c r="E837" s="3"/>
      <c r="F837" s="3" t="s">
        <v>1849</v>
      </c>
      <c r="G837" s="3">
        <v>9.1</v>
      </c>
    </row>
    <row r="838" spans="1:7" x14ac:dyDescent="0.25">
      <c r="A838" s="1" t="s">
        <v>3169</v>
      </c>
      <c r="B838" s="2">
        <v>77</v>
      </c>
      <c r="C838" s="3" t="str">
        <f>"011609893"</f>
        <v>011609893</v>
      </c>
      <c r="D838" s="3" t="s">
        <v>1681</v>
      </c>
      <c r="E838" s="3"/>
      <c r="F838" s="3" t="s">
        <v>1850</v>
      </c>
      <c r="G838" s="3">
        <v>5.68</v>
      </c>
    </row>
    <row r="839" spans="1:7" x14ac:dyDescent="0.25">
      <c r="A839" s="1" t="s">
        <v>3169</v>
      </c>
      <c r="B839" s="2">
        <v>77</v>
      </c>
      <c r="C839" s="3" t="str">
        <f>"011609896"</f>
        <v>011609896</v>
      </c>
      <c r="D839" s="3" t="s">
        <v>1681</v>
      </c>
      <c r="E839" s="3"/>
      <c r="F839" s="3" t="s">
        <v>1851</v>
      </c>
      <c r="G839" s="3">
        <v>44.74</v>
      </c>
    </row>
    <row r="840" spans="1:7" x14ac:dyDescent="0.25">
      <c r="A840" s="1" t="s">
        <v>3169</v>
      </c>
      <c r="B840" s="2">
        <v>77</v>
      </c>
      <c r="C840" s="3" t="str">
        <f>"011609898"</f>
        <v>011609898</v>
      </c>
      <c r="D840" s="3" t="s">
        <v>1681</v>
      </c>
      <c r="E840" s="3"/>
      <c r="F840" s="3" t="s">
        <v>1852</v>
      </c>
      <c r="G840" s="3">
        <v>40.94</v>
      </c>
    </row>
    <row r="841" spans="1:7" x14ac:dyDescent="0.25">
      <c r="A841" s="1" t="s">
        <v>3169</v>
      </c>
      <c r="B841" s="2">
        <v>77</v>
      </c>
      <c r="C841" s="3" t="str">
        <f>"011609906"</f>
        <v>011609906</v>
      </c>
      <c r="D841" s="3" t="s">
        <v>1853</v>
      </c>
      <c r="E841" s="3"/>
      <c r="F841" s="3" t="s">
        <v>1854</v>
      </c>
      <c r="G841" s="3">
        <v>352.56</v>
      </c>
    </row>
    <row r="842" spans="1:7" x14ac:dyDescent="0.25">
      <c r="A842" s="1" t="s">
        <v>3169</v>
      </c>
      <c r="B842" s="2">
        <v>77</v>
      </c>
      <c r="C842" s="3" t="str">
        <f>"011609907"</f>
        <v>011609907</v>
      </c>
      <c r="D842" s="3" t="s">
        <v>1853</v>
      </c>
      <c r="E842" s="3"/>
      <c r="F842" s="3" t="s">
        <v>1855</v>
      </c>
      <c r="G842" s="3">
        <v>20.8</v>
      </c>
    </row>
    <row r="843" spans="1:7" x14ac:dyDescent="0.25">
      <c r="A843" s="1" t="s">
        <v>3169</v>
      </c>
      <c r="B843" s="2">
        <v>77</v>
      </c>
      <c r="C843" s="3" t="str">
        <f>"011610150"</f>
        <v>011610150</v>
      </c>
      <c r="D843" s="3" t="s">
        <v>706</v>
      </c>
      <c r="E843" s="3"/>
      <c r="F843" s="3" t="s">
        <v>1856</v>
      </c>
      <c r="G843" s="3">
        <v>298.44</v>
      </c>
    </row>
    <row r="844" spans="1:7" x14ac:dyDescent="0.25">
      <c r="A844" s="1" t="s">
        <v>3169</v>
      </c>
      <c r="B844" s="2">
        <v>77</v>
      </c>
      <c r="C844" s="3" t="str">
        <f>"011610151"</f>
        <v>011610151</v>
      </c>
      <c r="D844" s="3" t="s">
        <v>706</v>
      </c>
      <c r="E844" s="3"/>
      <c r="F844" s="3" t="s">
        <v>1857</v>
      </c>
      <c r="G844" s="3">
        <v>298.44</v>
      </c>
    </row>
    <row r="845" spans="1:7" x14ac:dyDescent="0.25">
      <c r="A845" s="1" t="s">
        <v>3169</v>
      </c>
      <c r="B845" s="2">
        <v>77</v>
      </c>
      <c r="C845" s="3" t="str">
        <f>"011610152"</f>
        <v>011610152</v>
      </c>
      <c r="D845" s="3" t="s">
        <v>706</v>
      </c>
      <c r="E845" s="3" t="s">
        <v>1858</v>
      </c>
      <c r="F845" s="3" t="s">
        <v>1859</v>
      </c>
      <c r="G845" s="3">
        <v>298.44</v>
      </c>
    </row>
    <row r="846" spans="1:7" x14ac:dyDescent="0.25">
      <c r="A846" s="1" t="s">
        <v>3169</v>
      </c>
      <c r="B846" s="2">
        <v>77</v>
      </c>
      <c r="C846" s="3" t="str">
        <f>"011610153"</f>
        <v>011610153</v>
      </c>
      <c r="D846" s="3" t="s">
        <v>706</v>
      </c>
      <c r="E846" s="3" t="s">
        <v>1860</v>
      </c>
      <c r="F846" s="3" t="s">
        <v>1861</v>
      </c>
      <c r="G846" s="3">
        <v>298.44</v>
      </c>
    </row>
    <row r="847" spans="1:7" x14ac:dyDescent="0.25">
      <c r="A847" s="1" t="s">
        <v>3169</v>
      </c>
      <c r="B847" s="2">
        <v>77</v>
      </c>
      <c r="C847" s="3" t="str">
        <f>"011610154"</f>
        <v>011610154</v>
      </c>
      <c r="D847" s="3" t="s">
        <v>706</v>
      </c>
      <c r="E847" s="3" t="s">
        <v>1862</v>
      </c>
      <c r="F847" s="3" t="s">
        <v>1863</v>
      </c>
      <c r="G847" s="3">
        <v>298.44</v>
      </c>
    </row>
    <row r="848" spans="1:7" x14ac:dyDescent="0.25">
      <c r="A848" s="1" t="s">
        <v>3169</v>
      </c>
      <c r="B848" s="2">
        <v>77</v>
      </c>
      <c r="C848" s="3" t="str">
        <f>"011610155"</f>
        <v>011610155</v>
      </c>
      <c r="D848" s="3" t="s">
        <v>706</v>
      </c>
      <c r="E848" s="3" t="s">
        <v>1864</v>
      </c>
      <c r="F848" s="3" t="s">
        <v>1865</v>
      </c>
      <c r="G848" s="3">
        <v>298.44</v>
      </c>
    </row>
    <row r="849" spans="1:7" x14ac:dyDescent="0.25">
      <c r="A849" s="1" t="s">
        <v>3169</v>
      </c>
      <c r="B849" s="2">
        <v>77</v>
      </c>
      <c r="C849" s="3" t="str">
        <f>"011610156"</f>
        <v>011610156</v>
      </c>
      <c r="D849" s="3" t="s">
        <v>706</v>
      </c>
      <c r="E849" s="3" t="s">
        <v>1866</v>
      </c>
      <c r="F849" s="3" t="s">
        <v>1867</v>
      </c>
      <c r="G849" s="3">
        <v>298.44</v>
      </c>
    </row>
    <row r="850" spans="1:7" x14ac:dyDescent="0.25">
      <c r="A850" s="1" t="s">
        <v>3169</v>
      </c>
      <c r="B850" s="2">
        <v>77</v>
      </c>
      <c r="C850" s="3" t="str">
        <f>"011610157"</f>
        <v>011610157</v>
      </c>
      <c r="D850" s="3" t="s">
        <v>706</v>
      </c>
      <c r="E850" s="3" t="s">
        <v>1868</v>
      </c>
      <c r="F850" s="3" t="s">
        <v>1869</v>
      </c>
      <c r="G850" s="3">
        <v>298.44</v>
      </c>
    </row>
    <row r="851" spans="1:7" x14ac:dyDescent="0.25">
      <c r="A851" s="1" t="s">
        <v>3169</v>
      </c>
      <c r="B851" s="2">
        <v>77</v>
      </c>
      <c r="C851" s="3" t="str">
        <f>"011610158"</f>
        <v>011610158</v>
      </c>
      <c r="D851" s="3" t="s">
        <v>706</v>
      </c>
      <c r="E851" s="3" t="s">
        <v>1870</v>
      </c>
      <c r="F851" s="3" t="s">
        <v>1871</v>
      </c>
      <c r="G851" s="3">
        <v>298.44</v>
      </c>
    </row>
    <row r="852" spans="1:7" x14ac:dyDescent="0.25">
      <c r="A852" s="1" t="s">
        <v>3169</v>
      </c>
      <c r="B852" s="2">
        <v>77</v>
      </c>
      <c r="C852" s="3" t="str">
        <f>"011610159"</f>
        <v>011610159</v>
      </c>
      <c r="D852" s="3" t="s">
        <v>706</v>
      </c>
      <c r="E852" s="3" t="s">
        <v>1872</v>
      </c>
      <c r="F852" s="3" t="s">
        <v>1873</v>
      </c>
      <c r="G852" s="3">
        <v>298.44</v>
      </c>
    </row>
    <row r="853" spans="1:7" x14ac:dyDescent="0.25">
      <c r="A853" s="1" t="s">
        <v>3169</v>
      </c>
      <c r="B853" s="2">
        <v>77</v>
      </c>
      <c r="C853" s="3" t="str">
        <f>"011610160"</f>
        <v>011610160</v>
      </c>
      <c r="D853" s="3" t="s">
        <v>706</v>
      </c>
      <c r="E853" s="3" t="s">
        <v>1874</v>
      </c>
      <c r="F853" s="3" t="s">
        <v>1875</v>
      </c>
      <c r="G853" s="3">
        <v>298.44</v>
      </c>
    </row>
    <row r="854" spans="1:7" x14ac:dyDescent="0.25">
      <c r="A854" s="1" t="s">
        <v>3169</v>
      </c>
      <c r="B854" s="2">
        <v>77</v>
      </c>
      <c r="C854" s="3" t="str">
        <f>"011610161"</f>
        <v>011610161</v>
      </c>
      <c r="D854" s="3" t="s">
        <v>706</v>
      </c>
      <c r="E854" s="3" t="s">
        <v>1876</v>
      </c>
      <c r="F854" s="3" t="s">
        <v>1877</v>
      </c>
      <c r="G854" s="3">
        <v>298.44</v>
      </c>
    </row>
    <row r="855" spans="1:7" x14ac:dyDescent="0.25">
      <c r="A855" s="1" t="s">
        <v>3169</v>
      </c>
      <c r="B855" s="2">
        <v>77</v>
      </c>
      <c r="C855" s="3" t="str">
        <f>"011610162"</f>
        <v>011610162</v>
      </c>
      <c r="D855" s="3" t="s">
        <v>706</v>
      </c>
      <c r="E855" s="3" t="s">
        <v>1878</v>
      </c>
      <c r="F855" s="3" t="s">
        <v>1879</v>
      </c>
      <c r="G855" s="3">
        <v>298.44</v>
      </c>
    </row>
    <row r="856" spans="1:7" x14ac:dyDescent="0.25">
      <c r="A856" s="1" t="s">
        <v>3169</v>
      </c>
      <c r="B856" s="2">
        <v>77</v>
      </c>
      <c r="C856" s="3" t="str">
        <f>"011610163"</f>
        <v>011610163</v>
      </c>
      <c r="D856" s="3" t="s">
        <v>706</v>
      </c>
      <c r="E856" s="3" t="s">
        <v>1880</v>
      </c>
      <c r="F856" s="3" t="s">
        <v>1881</v>
      </c>
      <c r="G856" s="3">
        <v>298.44</v>
      </c>
    </row>
    <row r="857" spans="1:7" x14ac:dyDescent="0.25">
      <c r="A857" s="1" t="s">
        <v>3169</v>
      </c>
      <c r="B857" s="2">
        <v>77</v>
      </c>
      <c r="C857" s="3" t="str">
        <f>"011610164"</f>
        <v>011610164</v>
      </c>
      <c r="D857" s="3" t="s">
        <v>706</v>
      </c>
      <c r="E857" s="3"/>
      <c r="F857" s="3" t="s">
        <v>1882</v>
      </c>
      <c r="G857" s="3">
        <v>298.44</v>
      </c>
    </row>
    <row r="858" spans="1:7" x14ac:dyDescent="0.25">
      <c r="A858" s="1" t="s">
        <v>3169</v>
      </c>
      <c r="B858" s="2">
        <v>77</v>
      </c>
      <c r="C858" s="3" t="str">
        <f>"011610165"</f>
        <v>011610165</v>
      </c>
      <c r="D858" s="3" t="s">
        <v>706</v>
      </c>
      <c r="E858" s="3" t="s">
        <v>1883</v>
      </c>
      <c r="F858" s="3" t="s">
        <v>1884</v>
      </c>
      <c r="G858" s="3">
        <v>298.44</v>
      </c>
    </row>
    <row r="859" spans="1:7" x14ac:dyDescent="0.25">
      <c r="A859" s="1" t="s">
        <v>3169</v>
      </c>
      <c r="B859" s="2">
        <v>77</v>
      </c>
      <c r="C859" s="3" t="str">
        <f>"011610166"</f>
        <v>011610166</v>
      </c>
      <c r="D859" s="3" t="s">
        <v>706</v>
      </c>
      <c r="E859" s="3" t="s">
        <v>1885</v>
      </c>
      <c r="F859" s="3" t="s">
        <v>1886</v>
      </c>
      <c r="G859" s="3">
        <v>298.44</v>
      </c>
    </row>
    <row r="860" spans="1:7" x14ac:dyDescent="0.25">
      <c r="A860" s="1" t="s">
        <v>3169</v>
      </c>
      <c r="B860" s="2">
        <v>77</v>
      </c>
      <c r="C860" s="3" t="str">
        <f>"011610167"</f>
        <v>011610167</v>
      </c>
      <c r="D860" s="3" t="s">
        <v>706</v>
      </c>
      <c r="E860" s="3" t="s">
        <v>1887</v>
      </c>
      <c r="F860" s="3" t="s">
        <v>1888</v>
      </c>
      <c r="G860" s="3">
        <v>298.44</v>
      </c>
    </row>
    <row r="861" spans="1:7" x14ac:dyDescent="0.25">
      <c r="A861" s="1" t="s">
        <v>3169</v>
      </c>
      <c r="B861" s="2">
        <v>77</v>
      </c>
      <c r="C861" s="3" t="str">
        <f>"011610168"</f>
        <v>011610168</v>
      </c>
      <c r="D861" s="3" t="s">
        <v>706</v>
      </c>
      <c r="E861" s="3" t="s">
        <v>1889</v>
      </c>
      <c r="F861" s="3" t="s">
        <v>1890</v>
      </c>
      <c r="G861" s="3">
        <v>298.44</v>
      </c>
    </row>
    <row r="862" spans="1:7" x14ac:dyDescent="0.25">
      <c r="A862" s="1" t="s">
        <v>3169</v>
      </c>
      <c r="B862" s="2">
        <v>77</v>
      </c>
      <c r="C862" s="3" t="str">
        <f>"011610169"</f>
        <v>011610169</v>
      </c>
      <c r="D862" s="3" t="s">
        <v>706</v>
      </c>
      <c r="E862" s="3" t="s">
        <v>1891</v>
      </c>
      <c r="F862" s="3" t="s">
        <v>1892</v>
      </c>
      <c r="G862" s="3">
        <v>298.44</v>
      </c>
    </row>
    <row r="863" spans="1:7" x14ac:dyDescent="0.25">
      <c r="A863" s="1" t="s">
        <v>3169</v>
      </c>
      <c r="B863" s="2">
        <v>77</v>
      </c>
      <c r="C863" s="3" t="str">
        <f>"011610170"</f>
        <v>011610170</v>
      </c>
      <c r="D863" s="3" t="s">
        <v>706</v>
      </c>
      <c r="E863" s="3" t="s">
        <v>1893</v>
      </c>
      <c r="F863" s="3" t="s">
        <v>1894</v>
      </c>
      <c r="G863" s="3">
        <v>298.44</v>
      </c>
    </row>
    <row r="864" spans="1:7" x14ac:dyDescent="0.25">
      <c r="A864" s="1" t="s">
        <v>3169</v>
      </c>
      <c r="B864" s="2">
        <v>77</v>
      </c>
      <c r="C864" s="3" t="str">
        <f>"011610171"</f>
        <v>011610171</v>
      </c>
      <c r="D864" s="3" t="s">
        <v>706</v>
      </c>
      <c r="E864" s="3" t="s">
        <v>1895</v>
      </c>
      <c r="F864" s="3" t="s">
        <v>1896</v>
      </c>
      <c r="G864" s="3">
        <v>298.44</v>
      </c>
    </row>
    <row r="865" spans="1:7" x14ac:dyDescent="0.25">
      <c r="A865" s="1" t="s">
        <v>3169</v>
      </c>
      <c r="B865" s="2">
        <v>77</v>
      </c>
      <c r="C865" s="3" t="str">
        <f>"011610172"</f>
        <v>011610172</v>
      </c>
      <c r="D865" s="3" t="s">
        <v>706</v>
      </c>
      <c r="E865" s="3" t="s">
        <v>1897</v>
      </c>
      <c r="F865" s="3" t="s">
        <v>1898</v>
      </c>
      <c r="G865" s="3">
        <v>298.44</v>
      </c>
    </row>
    <row r="866" spans="1:7" x14ac:dyDescent="0.25">
      <c r="A866" s="1" t="s">
        <v>3169</v>
      </c>
      <c r="B866" s="2">
        <v>77</v>
      </c>
      <c r="C866" s="3" t="str">
        <f>"011610173"</f>
        <v>011610173</v>
      </c>
      <c r="D866" s="3" t="s">
        <v>706</v>
      </c>
      <c r="E866" s="3" t="s">
        <v>1899</v>
      </c>
      <c r="F866" s="3" t="s">
        <v>1900</v>
      </c>
      <c r="G866" s="3">
        <v>298.44</v>
      </c>
    </row>
    <row r="867" spans="1:7" x14ac:dyDescent="0.25">
      <c r="A867" s="1" t="s">
        <v>3169</v>
      </c>
      <c r="B867" s="2">
        <v>77</v>
      </c>
      <c r="C867" s="3" t="str">
        <f>"011610174"</f>
        <v>011610174</v>
      </c>
      <c r="D867" s="3" t="s">
        <v>706</v>
      </c>
      <c r="E867" s="3" t="s">
        <v>1901</v>
      </c>
      <c r="F867" s="3" t="s">
        <v>1902</v>
      </c>
      <c r="G867" s="3">
        <v>298.44</v>
      </c>
    </row>
    <row r="868" spans="1:7" x14ac:dyDescent="0.25">
      <c r="A868" s="1" t="s">
        <v>3169</v>
      </c>
      <c r="B868" s="2">
        <v>77</v>
      </c>
      <c r="C868" s="3" t="str">
        <f>"011610175"</f>
        <v>011610175</v>
      </c>
      <c r="D868" s="3" t="s">
        <v>706</v>
      </c>
      <c r="E868" s="3" t="s">
        <v>1903</v>
      </c>
      <c r="F868" s="3" t="s">
        <v>1904</v>
      </c>
      <c r="G868" s="3">
        <v>298.44</v>
      </c>
    </row>
    <row r="869" spans="1:7" x14ac:dyDescent="0.25">
      <c r="A869" s="1" t="s">
        <v>3169</v>
      </c>
      <c r="B869" s="2">
        <v>77</v>
      </c>
      <c r="C869" s="3" t="str">
        <f>"011610176"</f>
        <v>011610176</v>
      </c>
      <c r="D869" s="3" t="s">
        <v>706</v>
      </c>
      <c r="E869" s="3"/>
      <c r="F869" s="3" t="s">
        <v>1905</v>
      </c>
      <c r="G869" s="3">
        <v>298.44</v>
      </c>
    </row>
    <row r="870" spans="1:7" x14ac:dyDescent="0.25">
      <c r="A870" s="1" t="s">
        <v>3169</v>
      </c>
      <c r="B870" s="2">
        <v>77</v>
      </c>
      <c r="C870" s="3" t="str">
        <f>"011610177"</f>
        <v>011610177</v>
      </c>
      <c r="D870" s="3" t="s">
        <v>706</v>
      </c>
      <c r="E870" s="3"/>
      <c r="F870" s="3" t="s">
        <v>1906</v>
      </c>
      <c r="G870" s="3">
        <v>298.44</v>
      </c>
    </row>
    <row r="871" spans="1:7" x14ac:dyDescent="0.25">
      <c r="A871" s="1" t="s">
        <v>3169</v>
      </c>
      <c r="B871" s="2">
        <v>77</v>
      </c>
      <c r="C871" s="3" t="str">
        <f>"011610178"</f>
        <v>011610178</v>
      </c>
      <c r="D871" s="3" t="s">
        <v>706</v>
      </c>
      <c r="E871" s="3" t="s">
        <v>1907</v>
      </c>
      <c r="F871" s="3" t="s">
        <v>1908</v>
      </c>
      <c r="G871" s="3">
        <v>298.44</v>
      </c>
    </row>
    <row r="872" spans="1:7" x14ac:dyDescent="0.25">
      <c r="A872" s="1" t="s">
        <v>3169</v>
      </c>
      <c r="B872" s="2">
        <v>77</v>
      </c>
      <c r="C872" s="3" t="str">
        <f>"011610179"</f>
        <v>011610179</v>
      </c>
      <c r="D872" s="3" t="s">
        <v>706</v>
      </c>
      <c r="E872" s="3" t="s">
        <v>1909</v>
      </c>
      <c r="F872" s="3" t="s">
        <v>1910</v>
      </c>
      <c r="G872" s="3">
        <v>298.44</v>
      </c>
    </row>
    <row r="873" spans="1:7" x14ac:dyDescent="0.25">
      <c r="A873" s="1" t="s">
        <v>3169</v>
      </c>
      <c r="B873" s="2">
        <v>77</v>
      </c>
      <c r="C873" s="3" t="str">
        <f>"011610180"</f>
        <v>011610180</v>
      </c>
      <c r="D873" s="3" t="s">
        <v>706</v>
      </c>
      <c r="E873" s="3" t="s">
        <v>1911</v>
      </c>
      <c r="F873" s="3" t="s">
        <v>1912</v>
      </c>
      <c r="G873" s="3">
        <v>298.44</v>
      </c>
    </row>
    <row r="874" spans="1:7" x14ac:dyDescent="0.25">
      <c r="A874" s="1" t="s">
        <v>3169</v>
      </c>
      <c r="B874" s="2">
        <v>77</v>
      </c>
      <c r="C874" s="3" t="str">
        <f>"011610181"</f>
        <v>011610181</v>
      </c>
      <c r="D874" s="3" t="s">
        <v>706</v>
      </c>
      <c r="E874" s="3" t="s">
        <v>1913</v>
      </c>
      <c r="F874" s="3" t="s">
        <v>1914</v>
      </c>
      <c r="G874" s="3">
        <v>298.44</v>
      </c>
    </row>
    <row r="875" spans="1:7" x14ac:dyDescent="0.25">
      <c r="A875" s="1" t="s">
        <v>3169</v>
      </c>
      <c r="B875" s="2">
        <v>77</v>
      </c>
      <c r="C875" s="3" t="str">
        <f>"011610182"</f>
        <v>011610182</v>
      </c>
      <c r="D875" s="3" t="s">
        <v>706</v>
      </c>
      <c r="E875" s="3" t="s">
        <v>1915</v>
      </c>
      <c r="F875" s="3" t="s">
        <v>1916</v>
      </c>
      <c r="G875" s="3">
        <v>298.44</v>
      </c>
    </row>
    <row r="876" spans="1:7" x14ac:dyDescent="0.25">
      <c r="A876" s="1" t="s">
        <v>3169</v>
      </c>
      <c r="B876" s="2">
        <v>77</v>
      </c>
      <c r="C876" s="3" t="str">
        <f>"011610183"</f>
        <v>011610183</v>
      </c>
      <c r="D876" s="3" t="s">
        <v>706</v>
      </c>
      <c r="E876" s="3" t="s">
        <v>1917</v>
      </c>
      <c r="F876" s="3" t="s">
        <v>1918</v>
      </c>
      <c r="G876" s="3">
        <v>298.44</v>
      </c>
    </row>
    <row r="877" spans="1:7" x14ac:dyDescent="0.25">
      <c r="A877" s="1" t="s">
        <v>3169</v>
      </c>
      <c r="B877" s="2">
        <v>77</v>
      </c>
      <c r="C877" s="3" t="str">
        <f>"011610184"</f>
        <v>011610184</v>
      </c>
      <c r="D877" s="3" t="s">
        <v>706</v>
      </c>
      <c r="E877" s="3" t="s">
        <v>1919</v>
      </c>
      <c r="F877" s="3" t="s">
        <v>1920</v>
      </c>
      <c r="G877" s="3">
        <v>298.44</v>
      </c>
    </row>
    <row r="878" spans="1:7" x14ac:dyDescent="0.25">
      <c r="A878" s="1" t="s">
        <v>3169</v>
      </c>
      <c r="B878" s="2">
        <v>77</v>
      </c>
      <c r="C878" s="3" t="str">
        <f>"011610185"</f>
        <v>011610185</v>
      </c>
      <c r="D878" s="3" t="s">
        <v>706</v>
      </c>
      <c r="E878" s="3" t="s">
        <v>1921</v>
      </c>
      <c r="F878" s="3" t="s">
        <v>1922</v>
      </c>
      <c r="G878" s="3">
        <v>298.44</v>
      </c>
    </row>
    <row r="879" spans="1:7" x14ac:dyDescent="0.25">
      <c r="A879" s="1" t="s">
        <v>3169</v>
      </c>
      <c r="B879" s="2">
        <v>77</v>
      </c>
      <c r="C879" s="3" t="str">
        <f>"011610186"</f>
        <v>011610186</v>
      </c>
      <c r="D879" s="3" t="s">
        <v>706</v>
      </c>
      <c r="E879" s="3" t="s">
        <v>1923</v>
      </c>
      <c r="F879" s="3" t="s">
        <v>1924</v>
      </c>
      <c r="G879" s="3">
        <v>298.44</v>
      </c>
    </row>
    <row r="880" spans="1:7" x14ac:dyDescent="0.25">
      <c r="A880" s="1" t="s">
        <v>3169</v>
      </c>
      <c r="B880" s="2">
        <v>77</v>
      </c>
      <c r="C880" s="3" t="str">
        <f>"011610187"</f>
        <v>011610187</v>
      </c>
      <c r="D880" s="3" t="s">
        <v>706</v>
      </c>
      <c r="E880" s="3" t="s">
        <v>1925</v>
      </c>
      <c r="F880" s="3" t="s">
        <v>1926</v>
      </c>
      <c r="G880" s="3">
        <v>298.44</v>
      </c>
    </row>
    <row r="881" spans="1:7" x14ac:dyDescent="0.25">
      <c r="A881" s="1" t="s">
        <v>3169</v>
      </c>
      <c r="B881" s="2">
        <v>77</v>
      </c>
      <c r="C881" s="3" t="str">
        <f>"011610188"</f>
        <v>011610188</v>
      </c>
      <c r="D881" s="3" t="s">
        <v>706</v>
      </c>
      <c r="E881" s="3" t="s">
        <v>1927</v>
      </c>
      <c r="F881" s="3" t="s">
        <v>1928</v>
      </c>
      <c r="G881" s="3">
        <v>298.44</v>
      </c>
    </row>
    <row r="882" spans="1:7" x14ac:dyDescent="0.25">
      <c r="A882" s="1" t="s">
        <v>3169</v>
      </c>
      <c r="B882" s="2">
        <v>77</v>
      </c>
      <c r="C882" s="3" t="str">
        <f>"011610189"</f>
        <v>011610189</v>
      </c>
      <c r="D882" s="3" t="s">
        <v>706</v>
      </c>
      <c r="E882" s="3" t="s">
        <v>1929</v>
      </c>
      <c r="F882" s="3" t="s">
        <v>1930</v>
      </c>
      <c r="G882" s="3">
        <v>298.44</v>
      </c>
    </row>
    <row r="883" spans="1:7" x14ac:dyDescent="0.25">
      <c r="A883" s="1" t="s">
        <v>3169</v>
      </c>
      <c r="B883" s="2">
        <v>77</v>
      </c>
      <c r="C883" s="3" t="str">
        <f>"011610190"</f>
        <v>011610190</v>
      </c>
      <c r="D883" s="3" t="s">
        <v>706</v>
      </c>
      <c r="E883" s="3" t="s">
        <v>1931</v>
      </c>
      <c r="F883" s="3" t="s">
        <v>1932</v>
      </c>
      <c r="G883" s="3">
        <v>298.44</v>
      </c>
    </row>
    <row r="884" spans="1:7" x14ac:dyDescent="0.25">
      <c r="A884" s="1" t="s">
        <v>3169</v>
      </c>
      <c r="B884" s="2">
        <v>77</v>
      </c>
      <c r="C884" s="3" t="str">
        <f>"011610191"</f>
        <v>011610191</v>
      </c>
      <c r="D884" s="3" t="s">
        <v>706</v>
      </c>
      <c r="E884" s="3"/>
      <c r="F884" s="3" t="s">
        <v>1933</v>
      </c>
      <c r="G884" s="3">
        <v>298.44</v>
      </c>
    </row>
    <row r="885" spans="1:7" x14ac:dyDescent="0.25">
      <c r="A885" s="1" t="s">
        <v>3169</v>
      </c>
      <c r="B885" s="2">
        <v>77</v>
      </c>
      <c r="C885" s="3" t="str">
        <f>"011610192"</f>
        <v>011610192</v>
      </c>
      <c r="D885" s="3" t="s">
        <v>706</v>
      </c>
      <c r="E885" s="3"/>
      <c r="F885" s="3" t="s">
        <v>1934</v>
      </c>
      <c r="G885" s="3">
        <v>298.44</v>
      </c>
    </row>
    <row r="886" spans="1:7" x14ac:dyDescent="0.25">
      <c r="A886" s="1" t="s">
        <v>3169</v>
      </c>
      <c r="B886" s="2">
        <v>77</v>
      </c>
      <c r="C886" s="3" t="str">
        <f>"011610193"</f>
        <v>011610193</v>
      </c>
      <c r="D886" s="3" t="s">
        <v>706</v>
      </c>
      <c r="E886" s="3"/>
      <c r="F886" s="3" t="s">
        <v>1935</v>
      </c>
      <c r="G886" s="3">
        <v>298.44</v>
      </c>
    </row>
    <row r="887" spans="1:7" x14ac:dyDescent="0.25">
      <c r="A887" s="1" t="s">
        <v>3169</v>
      </c>
      <c r="B887" s="2">
        <v>77</v>
      </c>
      <c r="C887" s="3" t="str">
        <f>"011610194"</f>
        <v>011610194</v>
      </c>
      <c r="D887" s="3" t="s">
        <v>706</v>
      </c>
      <c r="E887" s="3" t="s">
        <v>1936</v>
      </c>
      <c r="F887" s="3" t="s">
        <v>1937</v>
      </c>
      <c r="G887" s="3">
        <v>298.44</v>
      </c>
    </row>
    <row r="888" spans="1:7" x14ac:dyDescent="0.25">
      <c r="A888" s="1" t="s">
        <v>3169</v>
      </c>
      <c r="B888" s="2">
        <v>77</v>
      </c>
      <c r="C888" s="3" t="str">
        <f>"011610195"</f>
        <v>011610195</v>
      </c>
      <c r="D888" s="3" t="s">
        <v>706</v>
      </c>
      <c r="E888" s="3" t="s">
        <v>1938</v>
      </c>
      <c r="F888" s="3" t="s">
        <v>1939</v>
      </c>
      <c r="G888" s="3">
        <v>298.44</v>
      </c>
    </row>
    <row r="889" spans="1:7" x14ac:dyDescent="0.25">
      <c r="A889" s="1" t="s">
        <v>3169</v>
      </c>
      <c r="B889" s="2">
        <v>77</v>
      </c>
      <c r="C889" s="3" t="str">
        <f>"011610196"</f>
        <v>011610196</v>
      </c>
      <c r="D889" s="3" t="s">
        <v>706</v>
      </c>
      <c r="E889" s="3" t="s">
        <v>1940</v>
      </c>
      <c r="F889" s="3" t="s">
        <v>1941</v>
      </c>
      <c r="G889" s="3">
        <v>298.44</v>
      </c>
    </row>
    <row r="890" spans="1:7" x14ac:dyDescent="0.25">
      <c r="A890" s="1" t="s">
        <v>3169</v>
      </c>
      <c r="B890" s="2">
        <v>77</v>
      </c>
      <c r="C890" s="3" t="str">
        <f>"011610197"</f>
        <v>011610197</v>
      </c>
      <c r="D890" s="3" t="s">
        <v>706</v>
      </c>
      <c r="E890" s="3" t="s">
        <v>1942</v>
      </c>
      <c r="F890" s="3" t="s">
        <v>1943</v>
      </c>
      <c r="G890" s="3">
        <v>298.44</v>
      </c>
    </row>
    <row r="891" spans="1:7" x14ac:dyDescent="0.25">
      <c r="A891" s="1" t="s">
        <v>3169</v>
      </c>
      <c r="B891" s="2">
        <v>77</v>
      </c>
      <c r="C891" s="3" t="str">
        <f>"011610198"</f>
        <v>011610198</v>
      </c>
      <c r="D891" s="3" t="s">
        <v>706</v>
      </c>
      <c r="E891" s="3" t="s">
        <v>1944</v>
      </c>
      <c r="F891" s="3" t="s">
        <v>1945</v>
      </c>
      <c r="G891" s="3">
        <v>298.44</v>
      </c>
    </row>
    <row r="892" spans="1:7" x14ac:dyDescent="0.25">
      <c r="A892" s="1" t="s">
        <v>3169</v>
      </c>
      <c r="B892" s="2">
        <v>77</v>
      </c>
      <c r="C892" s="3" t="str">
        <f>"011610199"</f>
        <v>011610199</v>
      </c>
      <c r="D892" s="3" t="s">
        <v>706</v>
      </c>
      <c r="E892" s="3" t="s">
        <v>1946</v>
      </c>
      <c r="F892" s="3" t="s">
        <v>1947</v>
      </c>
      <c r="G892" s="3">
        <v>298.44</v>
      </c>
    </row>
    <row r="893" spans="1:7" x14ac:dyDescent="0.25">
      <c r="A893" s="1" t="s">
        <v>3169</v>
      </c>
      <c r="B893" s="2">
        <v>77</v>
      </c>
      <c r="C893" s="3" t="str">
        <f>"011610200"</f>
        <v>011610200</v>
      </c>
      <c r="D893" s="3" t="s">
        <v>706</v>
      </c>
      <c r="E893" s="3" t="s">
        <v>1948</v>
      </c>
      <c r="F893" s="3" t="s">
        <v>1949</v>
      </c>
      <c r="G893" s="3">
        <v>298.44</v>
      </c>
    </row>
    <row r="894" spans="1:7" x14ac:dyDescent="0.25">
      <c r="A894" s="1" t="s">
        <v>3169</v>
      </c>
      <c r="B894" s="2">
        <v>77</v>
      </c>
      <c r="C894" s="3" t="str">
        <f>"011610201"</f>
        <v>011610201</v>
      </c>
      <c r="D894" s="3" t="s">
        <v>706</v>
      </c>
      <c r="E894" s="3" t="s">
        <v>1950</v>
      </c>
      <c r="F894" s="3" t="s">
        <v>1951</v>
      </c>
      <c r="G894" s="3">
        <v>298.44</v>
      </c>
    </row>
    <row r="895" spans="1:7" x14ac:dyDescent="0.25">
      <c r="A895" s="1" t="s">
        <v>3169</v>
      </c>
      <c r="B895" s="2">
        <v>77</v>
      </c>
      <c r="C895" s="3" t="str">
        <f>"011610202"</f>
        <v>011610202</v>
      </c>
      <c r="D895" s="3" t="s">
        <v>706</v>
      </c>
      <c r="E895" s="3" t="s">
        <v>1952</v>
      </c>
      <c r="F895" s="3" t="s">
        <v>1953</v>
      </c>
      <c r="G895" s="3">
        <v>298.44</v>
      </c>
    </row>
    <row r="896" spans="1:7" x14ac:dyDescent="0.25">
      <c r="A896" s="1" t="s">
        <v>3169</v>
      </c>
      <c r="B896" s="2">
        <v>77</v>
      </c>
      <c r="C896" s="3" t="str">
        <f>"011610203"</f>
        <v>011610203</v>
      </c>
      <c r="D896" s="3" t="s">
        <v>706</v>
      </c>
      <c r="E896" s="3" t="s">
        <v>1954</v>
      </c>
      <c r="F896" s="3" t="s">
        <v>1955</v>
      </c>
      <c r="G896" s="3">
        <v>298.44</v>
      </c>
    </row>
    <row r="897" spans="1:7" x14ac:dyDescent="0.25">
      <c r="A897" s="1" t="s">
        <v>3169</v>
      </c>
      <c r="B897" s="2">
        <v>77</v>
      </c>
      <c r="C897" s="3" t="str">
        <f>"011610204"</f>
        <v>011610204</v>
      </c>
      <c r="D897" s="3" t="s">
        <v>706</v>
      </c>
      <c r="E897" s="3" t="s">
        <v>1956</v>
      </c>
      <c r="F897" s="3" t="s">
        <v>1957</v>
      </c>
      <c r="G897" s="3">
        <v>298.44</v>
      </c>
    </row>
    <row r="898" spans="1:7" x14ac:dyDescent="0.25">
      <c r="A898" s="1" t="s">
        <v>3169</v>
      </c>
      <c r="B898" s="2">
        <v>77</v>
      </c>
      <c r="C898" s="3" t="str">
        <f>"011610205"</f>
        <v>011610205</v>
      </c>
      <c r="D898" s="3" t="s">
        <v>706</v>
      </c>
      <c r="E898" s="3"/>
      <c r="F898" s="3" t="s">
        <v>1958</v>
      </c>
      <c r="G898" s="3">
        <v>298.44</v>
      </c>
    </row>
    <row r="899" spans="1:7" x14ac:dyDescent="0.25">
      <c r="A899" s="1" t="s">
        <v>3169</v>
      </c>
      <c r="B899" s="2">
        <v>77</v>
      </c>
      <c r="C899" s="3" t="str">
        <f>"011610206"</f>
        <v>011610206</v>
      </c>
      <c r="D899" s="3" t="s">
        <v>706</v>
      </c>
      <c r="E899" s="3"/>
      <c r="F899" s="3" t="s">
        <v>1959</v>
      </c>
      <c r="G899" s="3">
        <v>298.44</v>
      </c>
    </row>
    <row r="900" spans="1:7" x14ac:dyDescent="0.25">
      <c r="A900" s="1" t="s">
        <v>3169</v>
      </c>
      <c r="B900" s="2">
        <v>77</v>
      </c>
      <c r="C900" s="3" t="str">
        <f>"011610207"</f>
        <v>011610207</v>
      </c>
      <c r="D900" s="3" t="s">
        <v>706</v>
      </c>
      <c r="E900" s="3" t="s">
        <v>1960</v>
      </c>
      <c r="F900" s="3" t="s">
        <v>1961</v>
      </c>
      <c r="G900" s="3">
        <v>298.44</v>
      </c>
    </row>
    <row r="901" spans="1:7" x14ac:dyDescent="0.25">
      <c r="A901" s="1" t="s">
        <v>3169</v>
      </c>
      <c r="B901" s="2">
        <v>77</v>
      </c>
      <c r="C901" s="3" t="str">
        <f>"011610208"</f>
        <v>011610208</v>
      </c>
      <c r="D901" s="3" t="s">
        <v>706</v>
      </c>
      <c r="E901" s="3" t="s">
        <v>1962</v>
      </c>
      <c r="F901" s="3" t="s">
        <v>1963</v>
      </c>
      <c r="G901" s="3">
        <v>298.44</v>
      </c>
    </row>
    <row r="902" spans="1:7" x14ac:dyDescent="0.25">
      <c r="A902" s="1" t="s">
        <v>3169</v>
      </c>
      <c r="B902" s="2">
        <v>77</v>
      </c>
      <c r="C902" s="3" t="str">
        <f>"011610209"</f>
        <v>011610209</v>
      </c>
      <c r="D902" s="3" t="s">
        <v>706</v>
      </c>
      <c r="E902" s="3" t="s">
        <v>1964</v>
      </c>
      <c r="F902" s="3" t="s">
        <v>1965</v>
      </c>
      <c r="G902" s="3">
        <v>298.44</v>
      </c>
    </row>
    <row r="903" spans="1:7" x14ac:dyDescent="0.25">
      <c r="A903" s="1" t="s">
        <v>3169</v>
      </c>
      <c r="B903" s="2">
        <v>77</v>
      </c>
      <c r="C903" s="3" t="str">
        <f>"011610210"</f>
        <v>011610210</v>
      </c>
      <c r="D903" s="3" t="s">
        <v>706</v>
      </c>
      <c r="E903" s="3" t="s">
        <v>1966</v>
      </c>
      <c r="F903" s="3" t="s">
        <v>1967</v>
      </c>
      <c r="G903" s="3">
        <v>298.44</v>
      </c>
    </row>
    <row r="904" spans="1:7" x14ac:dyDescent="0.25">
      <c r="A904" s="1" t="s">
        <v>3169</v>
      </c>
      <c r="B904" s="2">
        <v>77</v>
      </c>
      <c r="C904" s="3" t="str">
        <f>"011610211"</f>
        <v>011610211</v>
      </c>
      <c r="D904" s="3" t="s">
        <v>706</v>
      </c>
      <c r="E904" s="3" t="s">
        <v>1968</v>
      </c>
      <c r="F904" s="3" t="s">
        <v>1969</v>
      </c>
      <c r="G904" s="3">
        <v>298.44</v>
      </c>
    </row>
    <row r="905" spans="1:7" x14ac:dyDescent="0.25">
      <c r="A905" s="1" t="s">
        <v>3169</v>
      </c>
      <c r="B905" s="2">
        <v>77</v>
      </c>
      <c r="C905" s="3" t="str">
        <f>"011610212"</f>
        <v>011610212</v>
      </c>
      <c r="D905" s="3" t="s">
        <v>706</v>
      </c>
      <c r="E905" s="3" t="s">
        <v>1970</v>
      </c>
      <c r="F905" s="3" t="s">
        <v>1971</v>
      </c>
      <c r="G905" s="3">
        <v>298.44</v>
      </c>
    </row>
    <row r="906" spans="1:7" x14ac:dyDescent="0.25">
      <c r="A906" s="1" t="s">
        <v>3169</v>
      </c>
      <c r="B906" s="2">
        <v>77</v>
      </c>
      <c r="C906" s="3" t="str">
        <f>"011610213"</f>
        <v>011610213</v>
      </c>
      <c r="D906" s="3" t="s">
        <v>706</v>
      </c>
      <c r="E906" s="3" t="s">
        <v>1972</v>
      </c>
      <c r="F906" s="3" t="s">
        <v>1973</v>
      </c>
      <c r="G906" s="3">
        <v>298.44</v>
      </c>
    </row>
    <row r="907" spans="1:7" x14ac:dyDescent="0.25">
      <c r="A907" s="1" t="s">
        <v>3169</v>
      </c>
      <c r="B907" s="2">
        <v>77</v>
      </c>
      <c r="C907" s="3" t="str">
        <f>"011610214"</f>
        <v>011610214</v>
      </c>
      <c r="D907" s="3" t="s">
        <v>706</v>
      </c>
      <c r="E907" s="3" t="s">
        <v>1974</v>
      </c>
      <c r="F907" s="3" t="s">
        <v>1975</v>
      </c>
      <c r="G907" s="3">
        <v>298.44</v>
      </c>
    </row>
    <row r="908" spans="1:7" x14ac:dyDescent="0.25">
      <c r="A908" s="1" t="s">
        <v>3169</v>
      </c>
      <c r="B908" s="2">
        <v>77</v>
      </c>
      <c r="C908" s="3" t="str">
        <f>"011610215"</f>
        <v>011610215</v>
      </c>
      <c r="D908" s="3" t="s">
        <v>706</v>
      </c>
      <c r="E908" s="3" t="s">
        <v>1976</v>
      </c>
      <c r="F908" s="3" t="s">
        <v>1977</v>
      </c>
      <c r="G908" s="3">
        <v>298.44</v>
      </c>
    </row>
    <row r="909" spans="1:7" x14ac:dyDescent="0.25">
      <c r="A909" s="1" t="s">
        <v>3169</v>
      </c>
      <c r="B909" s="2">
        <v>77</v>
      </c>
      <c r="C909" s="3" t="str">
        <f>"011610216"</f>
        <v>011610216</v>
      </c>
      <c r="D909" s="3" t="s">
        <v>706</v>
      </c>
      <c r="E909" s="3" t="s">
        <v>1978</v>
      </c>
      <c r="F909" s="3" t="s">
        <v>1979</v>
      </c>
      <c r="G909" s="3">
        <v>298.44</v>
      </c>
    </row>
    <row r="910" spans="1:7" x14ac:dyDescent="0.25">
      <c r="A910" s="1" t="s">
        <v>3169</v>
      </c>
      <c r="B910" s="2">
        <v>77</v>
      </c>
      <c r="C910" s="3" t="str">
        <f>"011610217"</f>
        <v>011610217</v>
      </c>
      <c r="D910" s="3" t="s">
        <v>706</v>
      </c>
      <c r="E910" s="3" t="s">
        <v>1980</v>
      </c>
      <c r="F910" s="3" t="s">
        <v>1981</v>
      </c>
      <c r="G910" s="3">
        <v>298.44</v>
      </c>
    </row>
    <row r="911" spans="1:7" x14ac:dyDescent="0.25">
      <c r="A911" s="1" t="s">
        <v>3169</v>
      </c>
      <c r="B911" s="2">
        <v>77</v>
      </c>
      <c r="C911" s="3" t="str">
        <f>"011610218"</f>
        <v>011610218</v>
      </c>
      <c r="D911" s="3" t="s">
        <v>706</v>
      </c>
      <c r="E911" s="3"/>
      <c r="F911" s="3" t="s">
        <v>1982</v>
      </c>
      <c r="G911" s="3">
        <v>298.44</v>
      </c>
    </row>
    <row r="912" spans="1:7" x14ac:dyDescent="0.25">
      <c r="A912" s="1" t="s">
        <v>3169</v>
      </c>
      <c r="B912" s="2">
        <v>77</v>
      </c>
      <c r="C912" s="3" t="str">
        <f>"011610219"</f>
        <v>011610219</v>
      </c>
      <c r="D912" s="3" t="s">
        <v>706</v>
      </c>
      <c r="E912" s="3" t="s">
        <v>1983</v>
      </c>
      <c r="F912" s="3" t="s">
        <v>1984</v>
      </c>
      <c r="G912" s="3">
        <v>298.44</v>
      </c>
    </row>
    <row r="913" spans="1:7" x14ac:dyDescent="0.25">
      <c r="A913" s="1" t="s">
        <v>3169</v>
      </c>
      <c r="B913" s="2">
        <v>77</v>
      </c>
      <c r="C913" s="3" t="str">
        <f>"011610220"</f>
        <v>011610220</v>
      </c>
      <c r="D913" s="3" t="s">
        <v>706</v>
      </c>
      <c r="E913" s="3" t="s">
        <v>1985</v>
      </c>
      <c r="F913" s="3" t="s">
        <v>1986</v>
      </c>
      <c r="G913" s="3">
        <v>298.44</v>
      </c>
    </row>
    <row r="914" spans="1:7" x14ac:dyDescent="0.25">
      <c r="A914" s="1" t="s">
        <v>3169</v>
      </c>
      <c r="B914" s="2">
        <v>77</v>
      </c>
      <c r="C914" s="3" t="str">
        <f>"011610221"</f>
        <v>011610221</v>
      </c>
      <c r="D914" s="3" t="s">
        <v>706</v>
      </c>
      <c r="E914" s="3"/>
      <c r="F914" s="3" t="s">
        <v>1987</v>
      </c>
      <c r="G914" s="3">
        <v>298.44</v>
      </c>
    </row>
    <row r="915" spans="1:7" x14ac:dyDescent="0.25">
      <c r="A915" s="1" t="s">
        <v>3169</v>
      </c>
      <c r="B915" s="2">
        <v>77</v>
      </c>
      <c r="C915" s="3" t="str">
        <f>"011610222"</f>
        <v>011610222</v>
      </c>
      <c r="D915" s="3" t="s">
        <v>706</v>
      </c>
      <c r="E915" s="3" t="s">
        <v>1988</v>
      </c>
      <c r="F915" s="3" t="s">
        <v>1989</v>
      </c>
      <c r="G915" s="3">
        <v>298.44</v>
      </c>
    </row>
    <row r="916" spans="1:7" x14ac:dyDescent="0.25">
      <c r="A916" s="1" t="s">
        <v>3169</v>
      </c>
      <c r="B916" s="2">
        <v>77</v>
      </c>
      <c r="C916" s="3" t="str">
        <f>"011610223"</f>
        <v>011610223</v>
      </c>
      <c r="D916" s="3" t="s">
        <v>706</v>
      </c>
      <c r="E916" s="3" t="s">
        <v>1990</v>
      </c>
      <c r="F916" s="3" t="s">
        <v>1991</v>
      </c>
      <c r="G916" s="3">
        <v>298.44</v>
      </c>
    </row>
    <row r="917" spans="1:7" x14ac:dyDescent="0.25">
      <c r="A917" s="1" t="s">
        <v>3169</v>
      </c>
      <c r="B917" s="2">
        <v>77</v>
      </c>
      <c r="C917" s="3" t="str">
        <f>"011610224"</f>
        <v>011610224</v>
      </c>
      <c r="D917" s="3" t="s">
        <v>706</v>
      </c>
      <c r="E917" s="3" t="s">
        <v>1992</v>
      </c>
      <c r="F917" s="3" t="s">
        <v>1993</v>
      </c>
      <c r="G917" s="3">
        <v>298.44</v>
      </c>
    </row>
    <row r="918" spans="1:7" x14ac:dyDescent="0.25">
      <c r="A918" s="1" t="s">
        <v>3169</v>
      </c>
      <c r="B918" s="2">
        <v>77</v>
      </c>
      <c r="C918" s="3" t="str">
        <f>"011610225"</f>
        <v>011610225</v>
      </c>
      <c r="D918" s="3" t="s">
        <v>706</v>
      </c>
      <c r="E918" s="3" t="s">
        <v>1994</v>
      </c>
      <c r="F918" s="3" t="s">
        <v>1995</v>
      </c>
      <c r="G918" s="3">
        <v>298.44</v>
      </c>
    </row>
    <row r="919" spans="1:7" x14ac:dyDescent="0.25">
      <c r="A919" s="1" t="s">
        <v>3169</v>
      </c>
      <c r="B919" s="2">
        <v>77</v>
      </c>
      <c r="C919" s="3" t="str">
        <f>"011610226"</f>
        <v>011610226</v>
      </c>
      <c r="D919" s="3" t="s">
        <v>706</v>
      </c>
      <c r="E919" s="3" t="s">
        <v>1996</v>
      </c>
      <c r="F919" s="3" t="s">
        <v>1997</v>
      </c>
      <c r="G919" s="3">
        <v>298.44</v>
      </c>
    </row>
    <row r="920" spans="1:7" x14ac:dyDescent="0.25">
      <c r="A920" s="1" t="s">
        <v>3169</v>
      </c>
      <c r="B920" s="2">
        <v>77</v>
      </c>
      <c r="C920" s="3" t="str">
        <f>"011610227"</f>
        <v>011610227</v>
      </c>
      <c r="D920" s="3" t="s">
        <v>706</v>
      </c>
      <c r="E920" s="3" t="s">
        <v>1998</v>
      </c>
      <c r="F920" s="3" t="s">
        <v>1999</v>
      </c>
      <c r="G920" s="3">
        <v>298.44</v>
      </c>
    </row>
    <row r="921" spans="1:7" x14ac:dyDescent="0.25">
      <c r="A921" s="1" t="s">
        <v>3169</v>
      </c>
      <c r="B921" s="2">
        <v>77</v>
      </c>
      <c r="C921" s="3" t="str">
        <f>"011610228"</f>
        <v>011610228</v>
      </c>
      <c r="D921" s="3" t="s">
        <v>706</v>
      </c>
      <c r="E921" s="3" t="s">
        <v>2000</v>
      </c>
      <c r="F921" s="3" t="s">
        <v>2001</v>
      </c>
      <c r="G921" s="3">
        <v>298.44</v>
      </c>
    </row>
    <row r="922" spans="1:7" x14ac:dyDescent="0.25">
      <c r="A922" s="1" t="s">
        <v>3169</v>
      </c>
      <c r="B922" s="2">
        <v>77</v>
      </c>
      <c r="C922" s="3" t="str">
        <f>"011610229"</f>
        <v>011610229</v>
      </c>
      <c r="D922" s="3" t="s">
        <v>706</v>
      </c>
      <c r="E922" s="3" t="s">
        <v>2002</v>
      </c>
      <c r="F922" s="3" t="s">
        <v>2003</v>
      </c>
      <c r="G922" s="3">
        <v>298.44</v>
      </c>
    </row>
    <row r="923" spans="1:7" x14ac:dyDescent="0.25">
      <c r="A923" s="1" t="s">
        <v>3169</v>
      </c>
      <c r="B923" s="2">
        <v>77</v>
      </c>
      <c r="C923" s="3" t="str">
        <f>"011610230"</f>
        <v>011610230</v>
      </c>
      <c r="D923" s="3" t="s">
        <v>706</v>
      </c>
      <c r="E923" s="3" t="s">
        <v>2004</v>
      </c>
      <c r="F923" s="3" t="s">
        <v>2005</v>
      </c>
      <c r="G923" s="3">
        <v>298.44</v>
      </c>
    </row>
    <row r="924" spans="1:7" x14ac:dyDescent="0.25">
      <c r="A924" s="1" t="s">
        <v>3169</v>
      </c>
      <c r="B924" s="2">
        <v>77</v>
      </c>
      <c r="C924" s="3" t="str">
        <f>"011610231"</f>
        <v>011610231</v>
      </c>
      <c r="D924" s="3" t="s">
        <v>706</v>
      </c>
      <c r="E924" s="3" t="s">
        <v>2006</v>
      </c>
      <c r="F924" s="3" t="s">
        <v>2007</v>
      </c>
      <c r="G924" s="3">
        <v>298.44</v>
      </c>
    </row>
    <row r="925" spans="1:7" x14ac:dyDescent="0.25">
      <c r="A925" s="1" t="s">
        <v>3169</v>
      </c>
      <c r="B925" s="2">
        <v>77</v>
      </c>
      <c r="C925" s="3" t="str">
        <f>"011610232"</f>
        <v>011610232</v>
      </c>
      <c r="D925" s="3" t="s">
        <v>706</v>
      </c>
      <c r="E925" s="3"/>
      <c r="F925" s="3" t="s">
        <v>2008</v>
      </c>
      <c r="G925" s="3">
        <v>298.44</v>
      </c>
    </row>
    <row r="926" spans="1:7" x14ac:dyDescent="0.25">
      <c r="A926" s="1" t="s">
        <v>3169</v>
      </c>
      <c r="B926" s="2">
        <v>77</v>
      </c>
      <c r="C926" s="3" t="str">
        <f>"011610233"</f>
        <v>011610233</v>
      </c>
      <c r="D926" s="3" t="s">
        <v>706</v>
      </c>
      <c r="E926" s="3"/>
      <c r="F926" s="3" t="s">
        <v>2009</v>
      </c>
      <c r="G926" s="3">
        <v>298.44</v>
      </c>
    </row>
    <row r="927" spans="1:7" x14ac:dyDescent="0.25">
      <c r="A927" s="1" t="s">
        <v>3169</v>
      </c>
      <c r="B927" s="2">
        <v>77</v>
      </c>
      <c r="C927" s="3" t="str">
        <f>"011610234"</f>
        <v>011610234</v>
      </c>
      <c r="D927" s="3" t="s">
        <v>706</v>
      </c>
      <c r="E927" s="3" t="s">
        <v>2010</v>
      </c>
      <c r="F927" s="3" t="s">
        <v>2011</v>
      </c>
      <c r="G927" s="3">
        <v>298.44</v>
      </c>
    </row>
    <row r="928" spans="1:7" x14ac:dyDescent="0.25">
      <c r="A928" s="1" t="s">
        <v>3169</v>
      </c>
      <c r="B928" s="2">
        <v>77</v>
      </c>
      <c r="C928" s="3" t="str">
        <f>"011610235"</f>
        <v>011610235</v>
      </c>
      <c r="D928" s="3" t="s">
        <v>706</v>
      </c>
      <c r="E928" s="3" t="s">
        <v>2012</v>
      </c>
      <c r="F928" s="3" t="s">
        <v>2013</v>
      </c>
      <c r="G928" s="3">
        <v>298.44</v>
      </c>
    </row>
    <row r="929" spans="1:7" x14ac:dyDescent="0.25">
      <c r="A929" s="1" t="s">
        <v>3169</v>
      </c>
      <c r="B929" s="2">
        <v>77</v>
      </c>
      <c r="C929" s="3" t="str">
        <f>"011610236"</f>
        <v>011610236</v>
      </c>
      <c r="D929" s="3" t="s">
        <v>706</v>
      </c>
      <c r="E929" s="3" t="s">
        <v>2014</v>
      </c>
      <c r="F929" s="3" t="s">
        <v>2015</v>
      </c>
      <c r="G929" s="3">
        <v>298.44</v>
      </c>
    </row>
    <row r="930" spans="1:7" x14ac:dyDescent="0.25">
      <c r="A930" s="1" t="s">
        <v>3169</v>
      </c>
      <c r="B930" s="2">
        <v>77</v>
      </c>
      <c r="C930" s="3" t="str">
        <f>"011610237"</f>
        <v>011610237</v>
      </c>
      <c r="D930" s="3" t="s">
        <v>706</v>
      </c>
      <c r="E930" s="3" t="s">
        <v>2016</v>
      </c>
      <c r="F930" s="3" t="s">
        <v>2017</v>
      </c>
      <c r="G930" s="3">
        <v>298.44</v>
      </c>
    </row>
    <row r="931" spans="1:7" x14ac:dyDescent="0.25">
      <c r="A931" s="1" t="s">
        <v>3169</v>
      </c>
      <c r="B931" s="2">
        <v>77</v>
      </c>
      <c r="C931" s="3" t="str">
        <f>"011610238"</f>
        <v>011610238</v>
      </c>
      <c r="D931" s="3" t="s">
        <v>706</v>
      </c>
      <c r="E931" s="3" t="s">
        <v>2018</v>
      </c>
      <c r="F931" s="3" t="s">
        <v>2019</v>
      </c>
      <c r="G931" s="3">
        <v>298.44</v>
      </c>
    </row>
    <row r="932" spans="1:7" x14ac:dyDescent="0.25">
      <c r="A932" s="1" t="s">
        <v>3169</v>
      </c>
      <c r="B932" s="2">
        <v>77</v>
      </c>
      <c r="C932" s="3" t="str">
        <f>"011610239"</f>
        <v>011610239</v>
      </c>
      <c r="D932" s="3" t="s">
        <v>706</v>
      </c>
      <c r="E932" s="3" t="s">
        <v>2020</v>
      </c>
      <c r="F932" s="3" t="s">
        <v>2021</v>
      </c>
      <c r="G932" s="3">
        <v>298.44</v>
      </c>
    </row>
    <row r="933" spans="1:7" x14ac:dyDescent="0.25">
      <c r="A933" s="1" t="s">
        <v>3169</v>
      </c>
      <c r="B933" s="2">
        <v>77</v>
      </c>
      <c r="C933" s="3" t="str">
        <f>"011610240"</f>
        <v>011610240</v>
      </c>
      <c r="D933" s="3" t="s">
        <v>706</v>
      </c>
      <c r="E933" s="3" t="s">
        <v>2022</v>
      </c>
      <c r="F933" s="3" t="s">
        <v>2023</v>
      </c>
      <c r="G933" s="3">
        <v>298.44</v>
      </c>
    </row>
    <row r="934" spans="1:7" x14ac:dyDescent="0.25">
      <c r="A934" s="1" t="s">
        <v>3169</v>
      </c>
      <c r="B934" s="2">
        <v>77</v>
      </c>
      <c r="C934" s="3" t="str">
        <f>"011610241"</f>
        <v>011610241</v>
      </c>
      <c r="D934" s="3" t="s">
        <v>706</v>
      </c>
      <c r="E934" s="3" t="s">
        <v>2024</v>
      </c>
      <c r="F934" s="3" t="s">
        <v>2025</v>
      </c>
      <c r="G934" s="3">
        <v>298.44</v>
      </c>
    </row>
    <row r="935" spans="1:7" x14ac:dyDescent="0.25">
      <c r="A935" s="1" t="s">
        <v>3169</v>
      </c>
      <c r="B935" s="2">
        <v>77</v>
      </c>
      <c r="C935" s="3" t="str">
        <f>"011610242"</f>
        <v>011610242</v>
      </c>
      <c r="D935" s="3" t="s">
        <v>706</v>
      </c>
      <c r="E935" s="3"/>
      <c r="F935" s="3" t="s">
        <v>2026</v>
      </c>
      <c r="G935" s="3">
        <v>298.44</v>
      </c>
    </row>
    <row r="936" spans="1:7" x14ac:dyDescent="0.25">
      <c r="A936" s="1" t="s">
        <v>3169</v>
      </c>
      <c r="B936" s="2">
        <v>77</v>
      </c>
      <c r="C936" s="3" t="str">
        <f>"011610243"</f>
        <v>011610243</v>
      </c>
      <c r="D936" s="3" t="s">
        <v>706</v>
      </c>
      <c r="E936" s="3"/>
      <c r="F936" s="3" t="s">
        <v>2027</v>
      </c>
      <c r="G936" s="3">
        <v>298.44</v>
      </c>
    </row>
    <row r="937" spans="1:7" x14ac:dyDescent="0.25">
      <c r="A937" s="1" t="s">
        <v>3169</v>
      </c>
      <c r="B937" s="2">
        <v>77</v>
      </c>
      <c r="C937" s="3" t="str">
        <f>"011610244"</f>
        <v>011610244</v>
      </c>
      <c r="D937" s="3" t="s">
        <v>706</v>
      </c>
      <c r="E937" s="3" t="s">
        <v>2028</v>
      </c>
      <c r="F937" s="3" t="s">
        <v>2029</v>
      </c>
      <c r="G937" s="3">
        <v>298.44</v>
      </c>
    </row>
    <row r="938" spans="1:7" x14ac:dyDescent="0.25">
      <c r="A938" s="1" t="s">
        <v>3169</v>
      </c>
      <c r="B938" s="2">
        <v>77</v>
      </c>
      <c r="C938" s="3" t="str">
        <f>"011610245"</f>
        <v>011610245</v>
      </c>
      <c r="D938" s="3" t="s">
        <v>706</v>
      </c>
      <c r="E938" s="3" t="s">
        <v>2030</v>
      </c>
      <c r="F938" s="3" t="s">
        <v>2031</v>
      </c>
      <c r="G938" s="3">
        <v>298.44</v>
      </c>
    </row>
    <row r="939" spans="1:7" x14ac:dyDescent="0.25">
      <c r="A939" s="1" t="s">
        <v>3169</v>
      </c>
      <c r="B939" s="2">
        <v>77</v>
      </c>
      <c r="C939" s="3" t="str">
        <f>"011610246"</f>
        <v>011610246</v>
      </c>
      <c r="D939" s="3" t="s">
        <v>706</v>
      </c>
      <c r="E939" s="3" t="s">
        <v>2032</v>
      </c>
      <c r="F939" s="3" t="s">
        <v>2033</v>
      </c>
      <c r="G939" s="3">
        <v>298.44</v>
      </c>
    </row>
    <row r="940" spans="1:7" x14ac:dyDescent="0.25">
      <c r="A940" s="1" t="s">
        <v>3169</v>
      </c>
      <c r="B940" s="2">
        <v>77</v>
      </c>
      <c r="C940" s="3" t="str">
        <f>"011610247"</f>
        <v>011610247</v>
      </c>
      <c r="D940" s="3" t="s">
        <v>706</v>
      </c>
      <c r="E940" s="3" t="s">
        <v>2034</v>
      </c>
      <c r="F940" s="3" t="s">
        <v>2035</v>
      </c>
      <c r="G940" s="3">
        <v>298.44</v>
      </c>
    </row>
    <row r="941" spans="1:7" x14ac:dyDescent="0.25">
      <c r="A941" s="1" t="s">
        <v>3169</v>
      </c>
      <c r="B941" s="2">
        <v>77</v>
      </c>
      <c r="C941" s="3" t="str">
        <f>"011610248"</f>
        <v>011610248</v>
      </c>
      <c r="D941" s="3" t="s">
        <v>706</v>
      </c>
      <c r="E941" s="3" t="s">
        <v>2036</v>
      </c>
      <c r="F941" s="3" t="s">
        <v>2037</v>
      </c>
      <c r="G941" s="3">
        <v>298.44</v>
      </c>
    </row>
    <row r="942" spans="1:7" x14ac:dyDescent="0.25">
      <c r="A942" s="1" t="s">
        <v>3169</v>
      </c>
      <c r="B942" s="2">
        <v>77</v>
      </c>
      <c r="C942" s="3" t="str">
        <f>"011610249"</f>
        <v>011610249</v>
      </c>
      <c r="D942" s="3" t="s">
        <v>706</v>
      </c>
      <c r="E942" s="3" t="s">
        <v>2038</v>
      </c>
      <c r="F942" s="3" t="s">
        <v>2039</v>
      </c>
      <c r="G942" s="3">
        <v>298.44</v>
      </c>
    </row>
    <row r="943" spans="1:7" x14ac:dyDescent="0.25">
      <c r="A943" s="1" t="s">
        <v>3169</v>
      </c>
      <c r="B943" s="2">
        <v>77</v>
      </c>
      <c r="C943" s="3" t="str">
        <f>"011610250"</f>
        <v>011610250</v>
      </c>
      <c r="D943" s="3" t="s">
        <v>706</v>
      </c>
      <c r="E943" s="3" t="s">
        <v>2040</v>
      </c>
      <c r="F943" s="3" t="s">
        <v>2041</v>
      </c>
      <c r="G943" s="3">
        <v>298.44</v>
      </c>
    </row>
    <row r="944" spans="1:7" x14ac:dyDescent="0.25">
      <c r="A944" s="1" t="s">
        <v>3169</v>
      </c>
      <c r="B944" s="2">
        <v>77</v>
      </c>
      <c r="C944" s="3" t="str">
        <f>"011610251"</f>
        <v>011610251</v>
      </c>
      <c r="D944" s="3" t="s">
        <v>706</v>
      </c>
      <c r="E944" s="3" t="s">
        <v>2042</v>
      </c>
      <c r="F944" s="3" t="s">
        <v>2043</v>
      </c>
      <c r="G944" s="3">
        <v>298.44</v>
      </c>
    </row>
    <row r="945" spans="1:7" x14ac:dyDescent="0.25">
      <c r="A945" s="1" t="s">
        <v>3169</v>
      </c>
      <c r="B945" s="2">
        <v>77</v>
      </c>
      <c r="C945" s="3" t="str">
        <f>"011610252"</f>
        <v>011610252</v>
      </c>
      <c r="D945" s="3" t="s">
        <v>706</v>
      </c>
      <c r="E945" s="3"/>
      <c r="F945" s="3" t="s">
        <v>2044</v>
      </c>
      <c r="G945" s="3">
        <v>298.44</v>
      </c>
    </row>
    <row r="946" spans="1:7" x14ac:dyDescent="0.25">
      <c r="A946" s="1" t="s">
        <v>3169</v>
      </c>
      <c r="B946" s="2">
        <v>77</v>
      </c>
      <c r="C946" s="3" t="str">
        <f>"011610253"</f>
        <v>011610253</v>
      </c>
      <c r="D946" s="3" t="s">
        <v>706</v>
      </c>
      <c r="E946" s="3"/>
      <c r="F946" s="3" t="s">
        <v>2045</v>
      </c>
      <c r="G946" s="3">
        <v>298.44</v>
      </c>
    </row>
    <row r="947" spans="1:7" x14ac:dyDescent="0.25">
      <c r="A947" s="1" t="s">
        <v>3169</v>
      </c>
      <c r="B947" s="2">
        <v>77</v>
      </c>
      <c r="C947" s="3" t="str">
        <f>"011610254"</f>
        <v>011610254</v>
      </c>
      <c r="D947" s="3" t="s">
        <v>706</v>
      </c>
      <c r="E947" s="3" t="s">
        <v>2046</v>
      </c>
      <c r="F947" s="3" t="s">
        <v>2047</v>
      </c>
      <c r="G947" s="3">
        <v>298.44</v>
      </c>
    </row>
    <row r="948" spans="1:7" x14ac:dyDescent="0.25">
      <c r="A948" s="1" t="s">
        <v>3169</v>
      </c>
      <c r="B948" s="2">
        <v>77</v>
      </c>
      <c r="C948" s="3" t="str">
        <f>"011610255"</f>
        <v>011610255</v>
      </c>
      <c r="D948" s="3" t="s">
        <v>706</v>
      </c>
      <c r="E948" s="3" t="s">
        <v>2048</v>
      </c>
      <c r="F948" s="3" t="s">
        <v>2049</v>
      </c>
      <c r="G948" s="3">
        <v>298.44</v>
      </c>
    </row>
    <row r="949" spans="1:7" x14ac:dyDescent="0.25">
      <c r="A949" s="1" t="s">
        <v>3169</v>
      </c>
      <c r="B949" s="2">
        <v>77</v>
      </c>
      <c r="C949" s="3" t="str">
        <f>"011610256"</f>
        <v>011610256</v>
      </c>
      <c r="D949" s="3" t="s">
        <v>706</v>
      </c>
      <c r="E949" s="3" t="s">
        <v>2050</v>
      </c>
      <c r="F949" s="3" t="s">
        <v>2051</v>
      </c>
      <c r="G949" s="3">
        <v>298.44</v>
      </c>
    </row>
    <row r="950" spans="1:7" x14ac:dyDescent="0.25">
      <c r="A950" s="1" t="s">
        <v>3169</v>
      </c>
      <c r="B950" s="2">
        <v>77</v>
      </c>
      <c r="C950" s="3" t="str">
        <f>"011610257"</f>
        <v>011610257</v>
      </c>
      <c r="D950" s="3" t="s">
        <v>706</v>
      </c>
      <c r="E950" s="3" t="s">
        <v>2052</v>
      </c>
      <c r="F950" s="3" t="s">
        <v>2053</v>
      </c>
      <c r="G950" s="3">
        <v>298.44</v>
      </c>
    </row>
    <row r="951" spans="1:7" x14ac:dyDescent="0.25">
      <c r="A951" s="1" t="s">
        <v>3169</v>
      </c>
      <c r="B951" s="2">
        <v>77</v>
      </c>
      <c r="C951" s="3" t="str">
        <f>"011610258"</f>
        <v>011610258</v>
      </c>
      <c r="D951" s="3" t="s">
        <v>706</v>
      </c>
      <c r="E951" s="3" t="s">
        <v>2054</v>
      </c>
      <c r="F951" s="3" t="s">
        <v>2055</v>
      </c>
      <c r="G951" s="3">
        <v>298.44</v>
      </c>
    </row>
    <row r="952" spans="1:7" x14ac:dyDescent="0.25">
      <c r="A952" s="1" t="s">
        <v>3169</v>
      </c>
      <c r="B952" s="2">
        <v>77</v>
      </c>
      <c r="C952" s="3" t="str">
        <f>"011610259"</f>
        <v>011610259</v>
      </c>
      <c r="D952" s="3" t="s">
        <v>706</v>
      </c>
      <c r="E952" s="3" t="s">
        <v>2056</v>
      </c>
      <c r="F952" s="3" t="s">
        <v>2057</v>
      </c>
      <c r="G952" s="3">
        <v>298.44</v>
      </c>
    </row>
    <row r="953" spans="1:7" x14ac:dyDescent="0.25">
      <c r="A953" s="1" t="s">
        <v>3169</v>
      </c>
      <c r="B953" s="2">
        <v>77</v>
      </c>
      <c r="C953" s="3" t="str">
        <f>"011610260"</f>
        <v>011610260</v>
      </c>
      <c r="D953" s="3" t="s">
        <v>706</v>
      </c>
      <c r="E953" s="3" t="s">
        <v>2058</v>
      </c>
      <c r="F953" s="3" t="s">
        <v>2059</v>
      </c>
      <c r="G953" s="3">
        <v>298.44</v>
      </c>
    </row>
    <row r="954" spans="1:7" x14ac:dyDescent="0.25">
      <c r="A954" s="1" t="s">
        <v>3169</v>
      </c>
      <c r="B954" s="2">
        <v>77</v>
      </c>
      <c r="C954" s="3" t="str">
        <f>"011610261"</f>
        <v>011610261</v>
      </c>
      <c r="D954" s="3" t="s">
        <v>706</v>
      </c>
      <c r="E954" s="3" t="s">
        <v>2060</v>
      </c>
      <c r="F954" s="3" t="s">
        <v>2061</v>
      </c>
      <c r="G954" s="3">
        <v>298.44</v>
      </c>
    </row>
    <row r="955" spans="1:7" x14ac:dyDescent="0.25">
      <c r="A955" s="1" t="s">
        <v>3169</v>
      </c>
      <c r="B955" s="2">
        <v>77</v>
      </c>
      <c r="C955" s="3" t="str">
        <f>"011610262"</f>
        <v>011610262</v>
      </c>
      <c r="D955" s="3" t="s">
        <v>706</v>
      </c>
      <c r="E955" s="3"/>
      <c r="F955" s="3" t="s">
        <v>2062</v>
      </c>
      <c r="G955" s="3">
        <v>298.44</v>
      </c>
    </row>
    <row r="956" spans="1:7" x14ac:dyDescent="0.25">
      <c r="A956" s="1" t="s">
        <v>3169</v>
      </c>
      <c r="B956" s="2">
        <v>77</v>
      </c>
      <c r="C956" s="3" t="str">
        <f>"011610263"</f>
        <v>011610263</v>
      </c>
      <c r="D956" s="3" t="s">
        <v>706</v>
      </c>
      <c r="E956" s="3"/>
      <c r="F956" s="3" t="s">
        <v>2063</v>
      </c>
      <c r="G956" s="3">
        <v>298.44</v>
      </c>
    </row>
    <row r="957" spans="1:7" x14ac:dyDescent="0.25">
      <c r="A957" s="1" t="s">
        <v>3169</v>
      </c>
      <c r="B957" s="2">
        <v>77</v>
      </c>
      <c r="C957" s="3" t="str">
        <f>"011610264"</f>
        <v>011610264</v>
      </c>
      <c r="D957" s="3" t="s">
        <v>706</v>
      </c>
      <c r="E957" s="3" t="s">
        <v>2064</v>
      </c>
      <c r="F957" s="3" t="s">
        <v>2065</v>
      </c>
      <c r="G957" s="3">
        <v>298.44</v>
      </c>
    </row>
    <row r="958" spans="1:7" x14ac:dyDescent="0.25">
      <c r="A958" s="1" t="s">
        <v>3169</v>
      </c>
      <c r="B958" s="2">
        <v>77</v>
      </c>
      <c r="C958" s="3" t="str">
        <f>"011610265"</f>
        <v>011610265</v>
      </c>
      <c r="D958" s="3" t="s">
        <v>706</v>
      </c>
      <c r="E958" s="3" t="s">
        <v>2066</v>
      </c>
      <c r="F958" s="3" t="s">
        <v>2067</v>
      </c>
      <c r="G958" s="3">
        <v>298.44</v>
      </c>
    </row>
    <row r="959" spans="1:7" x14ac:dyDescent="0.25">
      <c r="A959" s="1" t="s">
        <v>3169</v>
      </c>
      <c r="B959" s="2">
        <v>77</v>
      </c>
      <c r="C959" s="3" t="str">
        <f>"011610266"</f>
        <v>011610266</v>
      </c>
      <c r="D959" s="3" t="s">
        <v>706</v>
      </c>
      <c r="E959" s="3" t="s">
        <v>2068</v>
      </c>
      <c r="F959" s="3" t="s">
        <v>2069</v>
      </c>
      <c r="G959" s="3">
        <v>298.44</v>
      </c>
    </row>
    <row r="960" spans="1:7" x14ac:dyDescent="0.25">
      <c r="A960" s="1" t="s">
        <v>3169</v>
      </c>
      <c r="B960" s="2">
        <v>77</v>
      </c>
      <c r="C960" s="3" t="str">
        <f>"011610267"</f>
        <v>011610267</v>
      </c>
      <c r="D960" s="3" t="s">
        <v>706</v>
      </c>
      <c r="E960" s="3" t="s">
        <v>2070</v>
      </c>
      <c r="F960" s="3" t="s">
        <v>2071</v>
      </c>
      <c r="G960" s="3">
        <v>298.44</v>
      </c>
    </row>
    <row r="961" spans="1:7" x14ac:dyDescent="0.25">
      <c r="A961" s="1" t="s">
        <v>3169</v>
      </c>
      <c r="B961" s="2">
        <v>77</v>
      </c>
      <c r="C961" s="3" t="str">
        <f>"011610268"</f>
        <v>011610268</v>
      </c>
      <c r="D961" s="3" t="s">
        <v>706</v>
      </c>
      <c r="E961" s="3" t="s">
        <v>2072</v>
      </c>
      <c r="F961" s="3" t="s">
        <v>2073</v>
      </c>
      <c r="G961" s="3">
        <v>298.44</v>
      </c>
    </row>
    <row r="962" spans="1:7" x14ac:dyDescent="0.25">
      <c r="A962" s="1" t="s">
        <v>3169</v>
      </c>
      <c r="B962" s="2">
        <v>77</v>
      </c>
      <c r="C962" s="3" t="str">
        <f>"011610269"</f>
        <v>011610269</v>
      </c>
      <c r="D962" s="3" t="s">
        <v>706</v>
      </c>
      <c r="E962" s="3" t="s">
        <v>2074</v>
      </c>
      <c r="F962" s="3" t="s">
        <v>2075</v>
      </c>
      <c r="G962" s="3">
        <v>298.44</v>
      </c>
    </row>
    <row r="963" spans="1:7" x14ac:dyDescent="0.25">
      <c r="A963" s="1" t="s">
        <v>3169</v>
      </c>
      <c r="B963" s="2">
        <v>77</v>
      </c>
      <c r="C963" s="3" t="str">
        <f>"011610270"</f>
        <v>011610270</v>
      </c>
      <c r="D963" s="3" t="s">
        <v>706</v>
      </c>
      <c r="E963" s="3" t="s">
        <v>2076</v>
      </c>
      <c r="F963" s="3" t="s">
        <v>2077</v>
      </c>
      <c r="G963" s="3">
        <v>298.44</v>
      </c>
    </row>
    <row r="964" spans="1:7" x14ac:dyDescent="0.25">
      <c r="A964" s="1" t="s">
        <v>3169</v>
      </c>
      <c r="B964" s="2">
        <v>77</v>
      </c>
      <c r="C964" s="3" t="str">
        <f>"011610271"</f>
        <v>011610271</v>
      </c>
      <c r="D964" s="3" t="s">
        <v>706</v>
      </c>
      <c r="E964" s="3"/>
      <c r="F964" s="3" t="s">
        <v>2078</v>
      </c>
      <c r="G964" s="3">
        <v>298.44</v>
      </c>
    </row>
    <row r="965" spans="1:7" x14ac:dyDescent="0.25">
      <c r="A965" s="1" t="s">
        <v>3169</v>
      </c>
      <c r="B965" s="2">
        <v>77</v>
      </c>
      <c r="C965" s="3" t="str">
        <f>"011610272"</f>
        <v>011610272</v>
      </c>
      <c r="D965" s="3" t="s">
        <v>706</v>
      </c>
      <c r="E965" s="3" t="s">
        <v>2079</v>
      </c>
      <c r="F965" s="3" t="s">
        <v>2080</v>
      </c>
      <c r="G965" s="3">
        <v>298.44</v>
      </c>
    </row>
    <row r="966" spans="1:7" x14ac:dyDescent="0.25">
      <c r="A966" s="1" t="s">
        <v>3169</v>
      </c>
      <c r="B966" s="2">
        <v>77</v>
      </c>
      <c r="C966" s="3" t="str">
        <f>"011610273"</f>
        <v>011610273</v>
      </c>
      <c r="D966" s="3" t="s">
        <v>706</v>
      </c>
      <c r="E966" s="3" t="s">
        <v>2081</v>
      </c>
      <c r="F966" s="3" t="s">
        <v>2082</v>
      </c>
      <c r="G966" s="3">
        <v>223.82</v>
      </c>
    </row>
    <row r="967" spans="1:7" x14ac:dyDescent="0.25">
      <c r="A967" s="1" t="s">
        <v>3169</v>
      </c>
      <c r="B967" s="2">
        <v>77</v>
      </c>
      <c r="C967" s="3" t="str">
        <f>"011610274"</f>
        <v>011610274</v>
      </c>
      <c r="D967" s="3" t="s">
        <v>706</v>
      </c>
      <c r="E967" s="3" t="s">
        <v>2083</v>
      </c>
      <c r="F967" s="3" t="s">
        <v>2084</v>
      </c>
      <c r="G967" s="3">
        <v>223.82</v>
      </c>
    </row>
    <row r="968" spans="1:7" x14ac:dyDescent="0.25">
      <c r="A968" s="1" t="s">
        <v>3169</v>
      </c>
      <c r="B968" s="2">
        <v>77</v>
      </c>
      <c r="C968" s="3" t="str">
        <f>"011610275"</f>
        <v>011610275</v>
      </c>
      <c r="D968" s="3" t="s">
        <v>706</v>
      </c>
      <c r="E968" s="3" t="s">
        <v>2085</v>
      </c>
      <c r="F968" s="3" t="s">
        <v>2086</v>
      </c>
      <c r="G968" s="3">
        <v>223.82</v>
      </c>
    </row>
    <row r="969" spans="1:7" x14ac:dyDescent="0.25">
      <c r="A969" s="1" t="s">
        <v>3169</v>
      </c>
      <c r="B969" s="2">
        <v>77</v>
      </c>
      <c r="C969" s="3" t="str">
        <f>"011610276"</f>
        <v>011610276</v>
      </c>
      <c r="D969" s="3" t="s">
        <v>706</v>
      </c>
      <c r="E969" s="3" t="s">
        <v>2087</v>
      </c>
      <c r="F969" s="3" t="s">
        <v>2088</v>
      </c>
      <c r="G969" s="3">
        <v>223.82</v>
      </c>
    </row>
    <row r="970" spans="1:7" x14ac:dyDescent="0.25">
      <c r="A970" s="1" t="s">
        <v>3169</v>
      </c>
      <c r="B970" s="2">
        <v>77</v>
      </c>
      <c r="C970" s="3" t="str">
        <f>"011610277"</f>
        <v>011610277</v>
      </c>
      <c r="D970" s="3" t="s">
        <v>706</v>
      </c>
      <c r="E970" s="3" t="s">
        <v>2089</v>
      </c>
      <c r="F970" s="3" t="s">
        <v>2090</v>
      </c>
      <c r="G970" s="3">
        <v>223.82</v>
      </c>
    </row>
    <row r="971" spans="1:7" x14ac:dyDescent="0.25">
      <c r="A971" s="1" t="s">
        <v>3169</v>
      </c>
      <c r="B971" s="2">
        <v>77</v>
      </c>
      <c r="C971" s="3" t="str">
        <f>"011610278"</f>
        <v>011610278</v>
      </c>
      <c r="D971" s="3" t="s">
        <v>706</v>
      </c>
      <c r="E971" s="3" t="s">
        <v>2091</v>
      </c>
      <c r="F971" s="3" t="s">
        <v>2092</v>
      </c>
      <c r="G971" s="3">
        <v>223.82</v>
      </c>
    </row>
    <row r="972" spans="1:7" x14ac:dyDescent="0.25">
      <c r="A972" s="1" t="s">
        <v>3169</v>
      </c>
      <c r="B972" s="2">
        <v>77</v>
      </c>
      <c r="C972" s="3" t="str">
        <f>"011610279"</f>
        <v>011610279</v>
      </c>
      <c r="D972" s="3" t="s">
        <v>706</v>
      </c>
      <c r="E972" s="3" t="s">
        <v>2093</v>
      </c>
      <c r="F972" s="3" t="s">
        <v>2094</v>
      </c>
      <c r="G972" s="3">
        <v>223.82</v>
      </c>
    </row>
    <row r="973" spans="1:7" x14ac:dyDescent="0.25">
      <c r="A973" s="1" t="s">
        <v>3169</v>
      </c>
      <c r="B973" s="2">
        <v>77</v>
      </c>
      <c r="C973" s="3" t="str">
        <f>"011610280"</f>
        <v>011610280</v>
      </c>
      <c r="D973" s="3" t="s">
        <v>706</v>
      </c>
      <c r="E973" s="3" t="s">
        <v>2095</v>
      </c>
      <c r="F973" s="3" t="s">
        <v>2096</v>
      </c>
      <c r="G973" s="3">
        <v>223.82</v>
      </c>
    </row>
    <row r="974" spans="1:7" x14ac:dyDescent="0.25">
      <c r="A974" s="1" t="s">
        <v>3169</v>
      </c>
      <c r="B974" s="2">
        <v>77</v>
      </c>
      <c r="C974" s="3" t="str">
        <f>"011610281"</f>
        <v>011610281</v>
      </c>
      <c r="D974" s="3" t="s">
        <v>706</v>
      </c>
      <c r="E974" s="3" t="s">
        <v>2097</v>
      </c>
      <c r="F974" s="3" t="s">
        <v>2098</v>
      </c>
      <c r="G974" s="3">
        <v>223.82</v>
      </c>
    </row>
    <row r="975" spans="1:7" x14ac:dyDescent="0.25">
      <c r="A975" s="1" t="s">
        <v>3169</v>
      </c>
      <c r="B975" s="2">
        <v>77</v>
      </c>
      <c r="C975" s="3" t="str">
        <f>"011610282"</f>
        <v>011610282</v>
      </c>
      <c r="D975" s="3" t="s">
        <v>706</v>
      </c>
      <c r="E975" s="3" t="s">
        <v>2099</v>
      </c>
      <c r="F975" s="3" t="s">
        <v>2100</v>
      </c>
      <c r="G975" s="3">
        <v>223.82</v>
      </c>
    </row>
    <row r="976" spans="1:7" x14ac:dyDescent="0.25">
      <c r="A976" s="1" t="s">
        <v>3169</v>
      </c>
      <c r="B976" s="2">
        <v>77</v>
      </c>
      <c r="C976" s="3" t="str">
        <f>"011610283"</f>
        <v>011610283</v>
      </c>
      <c r="D976" s="3" t="s">
        <v>706</v>
      </c>
      <c r="E976" s="3" t="s">
        <v>2101</v>
      </c>
      <c r="F976" s="3" t="s">
        <v>2102</v>
      </c>
      <c r="G976" s="3">
        <v>223.82</v>
      </c>
    </row>
    <row r="977" spans="1:7" x14ac:dyDescent="0.25">
      <c r="A977" s="1" t="s">
        <v>3169</v>
      </c>
      <c r="B977" s="2">
        <v>77</v>
      </c>
      <c r="C977" s="3" t="str">
        <f>"011610284"</f>
        <v>011610284</v>
      </c>
      <c r="D977" s="3" t="s">
        <v>706</v>
      </c>
      <c r="E977" s="3" t="s">
        <v>2103</v>
      </c>
      <c r="F977" s="3" t="s">
        <v>2104</v>
      </c>
      <c r="G977" s="3">
        <v>223.82</v>
      </c>
    </row>
    <row r="978" spans="1:7" x14ac:dyDescent="0.25">
      <c r="A978" s="1" t="s">
        <v>3169</v>
      </c>
      <c r="B978" s="2">
        <v>77</v>
      </c>
      <c r="C978" s="3" t="str">
        <f>"011610285"</f>
        <v>011610285</v>
      </c>
      <c r="D978" s="3" t="s">
        <v>706</v>
      </c>
      <c r="E978" s="3" t="s">
        <v>2105</v>
      </c>
      <c r="F978" s="3" t="s">
        <v>2106</v>
      </c>
      <c r="G978" s="3">
        <v>223.82</v>
      </c>
    </row>
    <row r="979" spans="1:7" x14ac:dyDescent="0.25">
      <c r="A979" s="1" t="s">
        <v>3169</v>
      </c>
      <c r="B979" s="2">
        <v>77</v>
      </c>
      <c r="C979" s="3" t="str">
        <f>"011610286"</f>
        <v>011610286</v>
      </c>
      <c r="D979" s="3" t="s">
        <v>706</v>
      </c>
      <c r="E979" s="3"/>
      <c r="F979" s="3" t="s">
        <v>2107</v>
      </c>
      <c r="G979" s="3">
        <v>223.82</v>
      </c>
    </row>
    <row r="980" spans="1:7" x14ac:dyDescent="0.25">
      <c r="A980" s="1" t="s">
        <v>3169</v>
      </c>
      <c r="B980" s="2">
        <v>77</v>
      </c>
      <c r="C980" s="3" t="str">
        <f>"011610287"</f>
        <v>011610287</v>
      </c>
      <c r="D980" s="3" t="s">
        <v>706</v>
      </c>
      <c r="E980" s="3"/>
      <c r="F980" s="3" t="s">
        <v>2108</v>
      </c>
      <c r="G980" s="3">
        <v>223.82</v>
      </c>
    </row>
    <row r="981" spans="1:7" x14ac:dyDescent="0.25">
      <c r="A981" s="1" t="s">
        <v>3169</v>
      </c>
      <c r="B981" s="2">
        <v>77</v>
      </c>
      <c r="C981" s="3" t="str">
        <f>"011610288"</f>
        <v>011610288</v>
      </c>
      <c r="D981" s="3" t="s">
        <v>706</v>
      </c>
      <c r="E981" s="3"/>
      <c r="F981" s="3" t="s">
        <v>2109</v>
      </c>
      <c r="G981" s="3">
        <v>223.82</v>
      </c>
    </row>
    <row r="982" spans="1:7" x14ac:dyDescent="0.25">
      <c r="A982" s="1" t="s">
        <v>3169</v>
      </c>
      <c r="B982" s="2">
        <v>77</v>
      </c>
      <c r="C982" s="3" t="str">
        <f>"011610289"</f>
        <v>011610289</v>
      </c>
      <c r="D982" s="3" t="s">
        <v>706</v>
      </c>
      <c r="E982" s="3" t="s">
        <v>2110</v>
      </c>
      <c r="F982" s="3" t="s">
        <v>2111</v>
      </c>
      <c r="G982" s="3">
        <v>223.82</v>
      </c>
    </row>
    <row r="983" spans="1:7" x14ac:dyDescent="0.25">
      <c r="A983" s="1" t="s">
        <v>3169</v>
      </c>
      <c r="B983" s="2">
        <v>77</v>
      </c>
      <c r="C983" s="3" t="str">
        <f>"011610290"</f>
        <v>011610290</v>
      </c>
      <c r="D983" s="3" t="s">
        <v>706</v>
      </c>
      <c r="E983" s="3" t="s">
        <v>2112</v>
      </c>
      <c r="F983" s="3" t="s">
        <v>2113</v>
      </c>
      <c r="G983" s="3">
        <v>223.82</v>
      </c>
    </row>
    <row r="984" spans="1:7" x14ac:dyDescent="0.25">
      <c r="A984" s="1" t="s">
        <v>3169</v>
      </c>
      <c r="B984" s="2">
        <v>77</v>
      </c>
      <c r="C984" s="3" t="str">
        <f>"011610291"</f>
        <v>011610291</v>
      </c>
      <c r="D984" s="3" t="s">
        <v>706</v>
      </c>
      <c r="E984" s="3" t="s">
        <v>2114</v>
      </c>
      <c r="F984" s="3" t="s">
        <v>2115</v>
      </c>
      <c r="G984" s="3">
        <v>223.82</v>
      </c>
    </row>
    <row r="985" spans="1:7" x14ac:dyDescent="0.25">
      <c r="A985" s="1" t="s">
        <v>3169</v>
      </c>
      <c r="B985" s="2">
        <v>77</v>
      </c>
      <c r="C985" s="3" t="str">
        <f>"011610292"</f>
        <v>011610292</v>
      </c>
      <c r="D985" s="3" t="s">
        <v>706</v>
      </c>
      <c r="E985" s="3" t="s">
        <v>2116</v>
      </c>
      <c r="F985" s="3" t="s">
        <v>2117</v>
      </c>
      <c r="G985" s="3">
        <v>223.82</v>
      </c>
    </row>
    <row r="986" spans="1:7" x14ac:dyDescent="0.25">
      <c r="A986" s="1" t="s">
        <v>3169</v>
      </c>
      <c r="B986" s="2">
        <v>77</v>
      </c>
      <c r="C986" s="3" t="str">
        <f>"011610293"</f>
        <v>011610293</v>
      </c>
      <c r="D986" s="3" t="s">
        <v>706</v>
      </c>
      <c r="E986" s="3" t="s">
        <v>2118</v>
      </c>
      <c r="F986" s="3" t="s">
        <v>2119</v>
      </c>
      <c r="G986" s="3">
        <v>223.82</v>
      </c>
    </row>
    <row r="987" spans="1:7" x14ac:dyDescent="0.25">
      <c r="A987" s="1" t="s">
        <v>3169</v>
      </c>
      <c r="B987" s="2">
        <v>77</v>
      </c>
      <c r="C987" s="3" t="str">
        <f>"011610294"</f>
        <v>011610294</v>
      </c>
      <c r="D987" s="3" t="s">
        <v>706</v>
      </c>
      <c r="E987" s="3" t="s">
        <v>2120</v>
      </c>
      <c r="F987" s="3" t="s">
        <v>2121</v>
      </c>
      <c r="G987" s="3">
        <v>223.82</v>
      </c>
    </row>
    <row r="988" spans="1:7" x14ac:dyDescent="0.25">
      <c r="A988" s="1" t="s">
        <v>3169</v>
      </c>
      <c r="B988" s="2">
        <v>77</v>
      </c>
      <c r="C988" s="3" t="str">
        <f>"011610295"</f>
        <v>011610295</v>
      </c>
      <c r="D988" s="3" t="s">
        <v>706</v>
      </c>
      <c r="E988" s="3" t="s">
        <v>2122</v>
      </c>
      <c r="F988" s="3" t="s">
        <v>2123</v>
      </c>
      <c r="G988" s="3">
        <v>223.82</v>
      </c>
    </row>
    <row r="989" spans="1:7" x14ac:dyDescent="0.25">
      <c r="A989" s="1" t="s">
        <v>3169</v>
      </c>
      <c r="B989" s="2">
        <v>77</v>
      </c>
      <c r="C989" s="3" t="str">
        <f>"011610296"</f>
        <v>011610296</v>
      </c>
      <c r="D989" s="3" t="s">
        <v>706</v>
      </c>
      <c r="E989" s="3" t="s">
        <v>2124</v>
      </c>
      <c r="F989" s="3" t="s">
        <v>2125</v>
      </c>
      <c r="G989" s="3">
        <v>223.82</v>
      </c>
    </row>
    <row r="990" spans="1:7" x14ac:dyDescent="0.25">
      <c r="A990" s="1" t="s">
        <v>3169</v>
      </c>
      <c r="B990" s="2">
        <v>77</v>
      </c>
      <c r="C990" s="3" t="str">
        <f>"011610297"</f>
        <v>011610297</v>
      </c>
      <c r="D990" s="3" t="s">
        <v>706</v>
      </c>
      <c r="E990" s="3" t="s">
        <v>2126</v>
      </c>
      <c r="F990" s="3" t="s">
        <v>2127</v>
      </c>
      <c r="G990" s="3">
        <v>223.82</v>
      </c>
    </row>
    <row r="991" spans="1:7" x14ac:dyDescent="0.25">
      <c r="A991" s="1" t="s">
        <v>3169</v>
      </c>
      <c r="B991" s="2">
        <v>77</v>
      </c>
      <c r="C991" s="3" t="str">
        <f>"011610298"</f>
        <v>011610298</v>
      </c>
      <c r="D991" s="3" t="s">
        <v>706</v>
      </c>
      <c r="E991" s="3" t="s">
        <v>2128</v>
      </c>
      <c r="F991" s="3" t="s">
        <v>2129</v>
      </c>
      <c r="G991" s="3">
        <v>223.82</v>
      </c>
    </row>
    <row r="992" spans="1:7" x14ac:dyDescent="0.25">
      <c r="A992" s="1" t="s">
        <v>3169</v>
      </c>
      <c r="B992" s="2">
        <v>77</v>
      </c>
      <c r="C992" s="3" t="str">
        <f>"011610299"</f>
        <v>011610299</v>
      </c>
      <c r="D992" s="3" t="s">
        <v>706</v>
      </c>
      <c r="E992" s="3" t="s">
        <v>2130</v>
      </c>
      <c r="F992" s="3" t="s">
        <v>2131</v>
      </c>
      <c r="G992" s="3">
        <v>223.82</v>
      </c>
    </row>
    <row r="993" spans="1:7" x14ac:dyDescent="0.25">
      <c r="A993" s="1" t="s">
        <v>3169</v>
      </c>
      <c r="B993" s="2">
        <v>77</v>
      </c>
      <c r="C993" s="3" t="str">
        <f>"011610300"</f>
        <v>011610300</v>
      </c>
      <c r="D993" s="3" t="s">
        <v>706</v>
      </c>
      <c r="E993" s="3"/>
      <c r="F993" s="3" t="s">
        <v>2132</v>
      </c>
      <c r="G993" s="3">
        <v>223.82</v>
      </c>
    </row>
    <row r="994" spans="1:7" x14ac:dyDescent="0.25">
      <c r="A994" s="1" t="s">
        <v>3169</v>
      </c>
      <c r="B994" s="2">
        <v>77</v>
      </c>
      <c r="C994" s="3" t="str">
        <f>"011610301"</f>
        <v>011610301</v>
      </c>
      <c r="D994" s="3" t="s">
        <v>706</v>
      </c>
      <c r="E994" s="3" t="s">
        <v>2133</v>
      </c>
      <c r="F994" s="3" t="s">
        <v>2134</v>
      </c>
      <c r="G994" s="3">
        <v>223.82</v>
      </c>
    </row>
    <row r="995" spans="1:7" x14ac:dyDescent="0.25">
      <c r="A995" s="1" t="s">
        <v>3169</v>
      </c>
      <c r="B995" s="2">
        <v>77</v>
      </c>
      <c r="C995" s="3" t="str">
        <f>"011610302"</f>
        <v>011610302</v>
      </c>
      <c r="D995" s="3" t="s">
        <v>706</v>
      </c>
      <c r="E995" s="3" t="s">
        <v>2135</v>
      </c>
      <c r="F995" s="3" t="s">
        <v>2136</v>
      </c>
      <c r="G995" s="3">
        <v>223.82</v>
      </c>
    </row>
    <row r="996" spans="1:7" x14ac:dyDescent="0.25">
      <c r="A996" s="1" t="s">
        <v>3169</v>
      </c>
      <c r="B996" s="2">
        <v>77</v>
      </c>
      <c r="C996" s="3" t="str">
        <f>"011610303"</f>
        <v>011610303</v>
      </c>
      <c r="D996" s="3" t="s">
        <v>706</v>
      </c>
      <c r="E996" s="3" t="s">
        <v>2137</v>
      </c>
      <c r="F996" s="3" t="s">
        <v>2138</v>
      </c>
      <c r="G996" s="3">
        <v>223.82</v>
      </c>
    </row>
    <row r="997" spans="1:7" x14ac:dyDescent="0.25">
      <c r="A997" s="1" t="s">
        <v>3169</v>
      </c>
      <c r="B997" s="2">
        <v>77</v>
      </c>
      <c r="C997" s="3" t="str">
        <f>"011610304"</f>
        <v>011610304</v>
      </c>
      <c r="D997" s="3" t="s">
        <v>706</v>
      </c>
      <c r="E997" s="3" t="s">
        <v>2139</v>
      </c>
      <c r="F997" s="3" t="s">
        <v>2140</v>
      </c>
      <c r="G997" s="3">
        <v>223.82</v>
      </c>
    </row>
    <row r="998" spans="1:7" x14ac:dyDescent="0.25">
      <c r="A998" s="1" t="s">
        <v>3169</v>
      </c>
      <c r="B998" s="2">
        <v>77</v>
      </c>
      <c r="C998" s="3" t="str">
        <f>"011610305"</f>
        <v>011610305</v>
      </c>
      <c r="D998" s="3" t="s">
        <v>706</v>
      </c>
      <c r="E998" s="3" t="s">
        <v>2141</v>
      </c>
      <c r="F998" s="3" t="s">
        <v>2142</v>
      </c>
      <c r="G998" s="3">
        <v>223.82</v>
      </c>
    </row>
    <row r="999" spans="1:7" x14ac:dyDescent="0.25">
      <c r="A999" s="1" t="s">
        <v>3169</v>
      </c>
      <c r="B999" s="2">
        <v>77</v>
      </c>
      <c r="C999" s="3" t="str">
        <f>"011610306"</f>
        <v>011610306</v>
      </c>
      <c r="D999" s="3" t="s">
        <v>706</v>
      </c>
      <c r="E999" s="3" t="s">
        <v>2143</v>
      </c>
      <c r="F999" s="3" t="s">
        <v>2144</v>
      </c>
      <c r="G999" s="3">
        <v>223.82</v>
      </c>
    </row>
    <row r="1000" spans="1:7" x14ac:dyDescent="0.25">
      <c r="A1000" s="1" t="s">
        <v>3169</v>
      </c>
      <c r="B1000" s="2">
        <v>77</v>
      </c>
      <c r="C1000" s="3" t="str">
        <f>"011610307"</f>
        <v>011610307</v>
      </c>
      <c r="D1000" s="3" t="s">
        <v>706</v>
      </c>
      <c r="E1000" s="3" t="s">
        <v>2145</v>
      </c>
      <c r="F1000" s="3" t="s">
        <v>2146</v>
      </c>
      <c r="G1000" s="3">
        <v>223.82</v>
      </c>
    </row>
    <row r="1001" spans="1:7" x14ac:dyDescent="0.25">
      <c r="A1001" s="1" t="s">
        <v>3169</v>
      </c>
      <c r="B1001" s="2">
        <v>77</v>
      </c>
      <c r="C1001" s="3" t="str">
        <f>"011610308"</f>
        <v>011610308</v>
      </c>
      <c r="D1001" s="3" t="s">
        <v>706</v>
      </c>
      <c r="E1001" s="3" t="s">
        <v>2147</v>
      </c>
      <c r="F1001" s="3" t="s">
        <v>2148</v>
      </c>
      <c r="G1001" s="3">
        <v>223.82</v>
      </c>
    </row>
    <row r="1002" spans="1:7" x14ac:dyDescent="0.25">
      <c r="A1002" s="1" t="s">
        <v>3169</v>
      </c>
      <c r="B1002" s="2">
        <v>77</v>
      </c>
      <c r="C1002" s="3" t="str">
        <f>"011610309"</f>
        <v>011610309</v>
      </c>
      <c r="D1002" s="3" t="s">
        <v>706</v>
      </c>
      <c r="E1002" s="3" t="s">
        <v>2149</v>
      </c>
      <c r="F1002" s="3" t="s">
        <v>2150</v>
      </c>
      <c r="G1002" s="3">
        <v>223.82</v>
      </c>
    </row>
    <row r="1003" spans="1:7" x14ac:dyDescent="0.25">
      <c r="A1003" s="1" t="s">
        <v>3169</v>
      </c>
      <c r="B1003" s="2">
        <v>77</v>
      </c>
      <c r="C1003" s="3" t="str">
        <f>"011610310"</f>
        <v>011610310</v>
      </c>
      <c r="D1003" s="3" t="s">
        <v>706</v>
      </c>
      <c r="E1003" s="3" t="s">
        <v>2151</v>
      </c>
      <c r="F1003" s="3" t="s">
        <v>2152</v>
      </c>
      <c r="G1003" s="3">
        <v>223.82</v>
      </c>
    </row>
    <row r="1004" spans="1:7" x14ac:dyDescent="0.25">
      <c r="A1004" s="1" t="s">
        <v>3169</v>
      </c>
      <c r="B1004" s="2">
        <v>77</v>
      </c>
      <c r="C1004" s="3" t="str">
        <f>"011610311"</f>
        <v>011610311</v>
      </c>
      <c r="D1004" s="3" t="s">
        <v>706</v>
      </c>
      <c r="E1004" s="3" t="s">
        <v>2153</v>
      </c>
      <c r="F1004" s="3" t="s">
        <v>2154</v>
      </c>
      <c r="G1004" s="3">
        <v>223.82</v>
      </c>
    </row>
    <row r="1005" spans="1:7" x14ac:dyDescent="0.25">
      <c r="A1005" s="1" t="s">
        <v>3169</v>
      </c>
      <c r="B1005" s="2">
        <v>77</v>
      </c>
      <c r="C1005" s="3" t="str">
        <f>"011610312"</f>
        <v>011610312</v>
      </c>
      <c r="D1005" s="3" t="s">
        <v>706</v>
      </c>
      <c r="E1005" s="3" t="s">
        <v>2155</v>
      </c>
      <c r="F1005" s="3" t="s">
        <v>2156</v>
      </c>
      <c r="G1005" s="3">
        <v>223.82</v>
      </c>
    </row>
    <row r="1006" spans="1:7" x14ac:dyDescent="0.25">
      <c r="A1006" s="1" t="s">
        <v>3169</v>
      </c>
      <c r="B1006" s="2">
        <v>77</v>
      </c>
      <c r="C1006" s="3" t="str">
        <f>"011610313"</f>
        <v>011610313</v>
      </c>
      <c r="D1006" s="3" t="s">
        <v>706</v>
      </c>
      <c r="E1006" s="3" t="s">
        <v>2157</v>
      </c>
      <c r="F1006" s="3" t="s">
        <v>2158</v>
      </c>
      <c r="G1006" s="3">
        <v>223.82</v>
      </c>
    </row>
    <row r="1007" spans="1:7" x14ac:dyDescent="0.25">
      <c r="A1007" s="1" t="s">
        <v>3169</v>
      </c>
      <c r="B1007" s="2">
        <v>77</v>
      </c>
      <c r="C1007" s="3" t="str">
        <f>"011610314"</f>
        <v>011610314</v>
      </c>
      <c r="D1007" s="3" t="s">
        <v>706</v>
      </c>
      <c r="E1007" s="3" t="s">
        <v>2159</v>
      </c>
      <c r="F1007" s="3" t="s">
        <v>2160</v>
      </c>
      <c r="G1007" s="3">
        <v>223.82</v>
      </c>
    </row>
    <row r="1008" spans="1:7" x14ac:dyDescent="0.25">
      <c r="A1008" s="1" t="s">
        <v>3169</v>
      </c>
      <c r="B1008" s="2">
        <v>77</v>
      </c>
      <c r="C1008" s="3" t="str">
        <f>"011610315"</f>
        <v>011610315</v>
      </c>
      <c r="D1008" s="3" t="s">
        <v>706</v>
      </c>
      <c r="E1008" s="3" t="s">
        <v>2161</v>
      </c>
      <c r="F1008" s="3" t="s">
        <v>2162</v>
      </c>
      <c r="G1008" s="3">
        <v>223.82</v>
      </c>
    </row>
    <row r="1009" spans="1:7" x14ac:dyDescent="0.25">
      <c r="A1009" s="1" t="s">
        <v>3169</v>
      </c>
      <c r="B1009" s="2">
        <v>77</v>
      </c>
      <c r="C1009" s="3" t="str">
        <f>"011610316"</f>
        <v>011610316</v>
      </c>
      <c r="D1009" s="3" t="s">
        <v>706</v>
      </c>
      <c r="E1009" s="3" t="s">
        <v>2163</v>
      </c>
      <c r="F1009" s="3" t="s">
        <v>2164</v>
      </c>
      <c r="G1009" s="3">
        <v>223.82</v>
      </c>
    </row>
    <row r="1010" spans="1:7" x14ac:dyDescent="0.25">
      <c r="A1010" s="1" t="s">
        <v>3169</v>
      </c>
      <c r="B1010" s="2">
        <v>77</v>
      </c>
      <c r="C1010" s="3" t="str">
        <f>"011610317"</f>
        <v>011610317</v>
      </c>
      <c r="D1010" s="3" t="s">
        <v>706</v>
      </c>
      <c r="E1010" s="3" t="s">
        <v>2165</v>
      </c>
      <c r="F1010" s="3" t="s">
        <v>2166</v>
      </c>
      <c r="G1010" s="3">
        <v>223.82</v>
      </c>
    </row>
    <row r="1011" spans="1:7" x14ac:dyDescent="0.25">
      <c r="A1011" s="1" t="s">
        <v>3169</v>
      </c>
      <c r="B1011" s="2">
        <v>77</v>
      </c>
      <c r="C1011" s="3" t="str">
        <f>"011610318"</f>
        <v>011610318</v>
      </c>
      <c r="D1011" s="3" t="s">
        <v>706</v>
      </c>
      <c r="E1011" s="3" t="s">
        <v>2167</v>
      </c>
      <c r="F1011" s="3" t="s">
        <v>2168</v>
      </c>
      <c r="G1011" s="3">
        <v>298.44</v>
      </c>
    </row>
    <row r="1012" spans="1:7" x14ac:dyDescent="0.25">
      <c r="A1012" s="1" t="s">
        <v>3169</v>
      </c>
      <c r="B1012" s="2">
        <v>77</v>
      </c>
      <c r="C1012" s="3" t="str">
        <f>"011610319"</f>
        <v>011610319</v>
      </c>
      <c r="D1012" s="3" t="s">
        <v>706</v>
      </c>
      <c r="E1012" s="3" t="s">
        <v>2169</v>
      </c>
      <c r="F1012" s="3" t="s">
        <v>2170</v>
      </c>
      <c r="G1012" s="3">
        <v>298.44</v>
      </c>
    </row>
    <row r="1013" spans="1:7" x14ac:dyDescent="0.25">
      <c r="A1013" s="1" t="s">
        <v>3169</v>
      </c>
      <c r="B1013" s="2">
        <v>77</v>
      </c>
      <c r="C1013" s="3" t="str">
        <f>"011610320"</f>
        <v>011610320</v>
      </c>
      <c r="D1013" s="3" t="s">
        <v>706</v>
      </c>
      <c r="E1013" s="3" t="s">
        <v>2171</v>
      </c>
      <c r="F1013" s="3" t="s">
        <v>2172</v>
      </c>
      <c r="G1013" s="3">
        <v>223.82</v>
      </c>
    </row>
    <row r="1014" spans="1:7" x14ac:dyDescent="0.25">
      <c r="A1014" s="1" t="s">
        <v>3169</v>
      </c>
      <c r="B1014" s="2">
        <v>77</v>
      </c>
      <c r="C1014" s="3" t="str">
        <f>"011610321"</f>
        <v>011610321</v>
      </c>
      <c r="D1014" s="3" t="s">
        <v>706</v>
      </c>
      <c r="E1014" s="3" t="s">
        <v>2173</v>
      </c>
      <c r="F1014" s="3" t="s">
        <v>2174</v>
      </c>
      <c r="G1014" s="3">
        <v>223.82</v>
      </c>
    </row>
    <row r="1015" spans="1:7" x14ac:dyDescent="0.25">
      <c r="A1015" s="1" t="s">
        <v>3169</v>
      </c>
      <c r="B1015" s="2">
        <v>77</v>
      </c>
      <c r="C1015" s="3" t="str">
        <f>"011610322"</f>
        <v>011610322</v>
      </c>
      <c r="D1015" s="3" t="s">
        <v>706</v>
      </c>
      <c r="E1015" s="3"/>
      <c r="F1015" s="3" t="s">
        <v>2175</v>
      </c>
      <c r="G1015" s="3">
        <v>223.82</v>
      </c>
    </row>
    <row r="1016" spans="1:7" x14ac:dyDescent="0.25">
      <c r="A1016" s="1" t="s">
        <v>3169</v>
      </c>
      <c r="B1016" s="2">
        <v>77</v>
      </c>
      <c r="C1016" s="3" t="str">
        <f>"011610323"</f>
        <v>011610323</v>
      </c>
      <c r="D1016" s="3" t="s">
        <v>706</v>
      </c>
      <c r="E1016" s="3" t="s">
        <v>2176</v>
      </c>
      <c r="F1016" s="3" t="s">
        <v>2177</v>
      </c>
      <c r="G1016" s="3">
        <v>223.82</v>
      </c>
    </row>
    <row r="1017" spans="1:7" x14ac:dyDescent="0.25">
      <c r="A1017" s="1" t="s">
        <v>3169</v>
      </c>
      <c r="B1017" s="2">
        <v>77</v>
      </c>
      <c r="C1017" s="3" t="str">
        <f>"011610324"</f>
        <v>011610324</v>
      </c>
      <c r="D1017" s="3" t="s">
        <v>706</v>
      </c>
      <c r="E1017" s="3" t="s">
        <v>2178</v>
      </c>
      <c r="F1017" s="3" t="s">
        <v>2179</v>
      </c>
      <c r="G1017" s="3">
        <v>223.82</v>
      </c>
    </row>
    <row r="1018" spans="1:7" x14ac:dyDescent="0.25">
      <c r="A1018" s="1" t="s">
        <v>3169</v>
      </c>
      <c r="B1018" s="2">
        <v>77</v>
      </c>
      <c r="C1018" s="3" t="str">
        <f>"011610325"</f>
        <v>011610325</v>
      </c>
      <c r="D1018" s="3" t="s">
        <v>706</v>
      </c>
      <c r="E1018" s="3" t="s">
        <v>2180</v>
      </c>
      <c r="F1018" s="3" t="s">
        <v>2181</v>
      </c>
      <c r="G1018" s="3">
        <v>223.82</v>
      </c>
    </row>
    <row r="1019" spans="1:7" x14ac:dyDescent="0.25">
      <c r="A1019" s="1" t="s">
        <v>3169</v>
      </c>
      <c r="B1019" s="2">
        <v>77</v>
      </c>
      <c r="C1019" s="3" t="str">
        <f>"011610326"</f>
        <v>011610326</v>
      </c>
      <c r="D1019" s="3" t="s">
        <v>706</v>
      </c>
      <c r="E1019" s="3" t="s">
        <v>2182</v>
      </c>
      <c r="F1019" s="3" t="s">
        <v>2183</v>
      </c>
      <c r="G1019" s="3">
        <v>223.82</v>
      </c>
    </row>
    <row r="1020" spans="1:7" x14ac:dyDescent="0.25">
      <c r="A1020" s="1" t="s">
        <v>3169</v>
      </c>
      <c r="B1020" s="2">
        <v>77</v>
      </c>
      <c r="C1020" s="3" t="str">
        <f>"011610327"</f>
        <v>011610327</v>
      </c>
      <c r="D1020" s="3" t="s">
        <v>706</v>
      </c>
      <c r="E1020" s="3" t="s">
        <v>2184</v>
      </c>
      <c r="F1020" s="3" t="s">
        <v>2185</v>
      </c>
      <c r="G1020" s="3">
        <v>223.82</v>
      </c>
    </row>
    <row r="1021" spans="1:7" x14ac:dyDescent="0.25">
      <c r="A1021" s="1" t="s">
        <v>3169</v>
      </c>
      <c r="B1021" s="2">
        <v>77</v>
      </c>
      <c r="C1021" s="3" t="str">
        <f>"011610328"</f>
        <v>011610328</v>
      </c>
      <c r="D1021" s="3" t="s">
        <v>706</v>
      </c>
      <c r="E1021" s="3" t="s">
        <v>2186</v>
      </c>
      <c r="F1021" s="3" t="s">
        <v>2187</v>
      </c>
      <c r="G1021" s="3">
        <v>223.82</v>
      </c>
    </row>
    <row r="1022" spans="1:7" x14ac:dyDescent="0.25">
      <c r="A1022" s="1" t="s">
        <v>3169</v>
      </c>
      <c r="B1022" s="2">
        <v>77</v>
      </c>
      <c r="C1022" s="3" t="str">
        <f>"011610329"</f>
        <v>011610329</v>
      </c>
      <c r="D1022" s="3" t="s">
        <v>706</v>
      </c>
      <c r="E1022" s="3" t="s">
        <v>2188</v>
      </c>
      <c r="F1022" s="3" t="s">
        <v>2189</v>
      </c>
      <c r="G1022" s="3">
        <v>223.82</v>
      </c>
    </row>
    <row r="1023" spans="1:7" x14ac:dyDescent="0.25">
      <c r="A1023" s="1" t="s">
        <v>3169</v>
      </c>
      <c r="B1023" s="2">
        <v>77</v>
      </c>
      <c r="C1023" s="3" t="str">
        <f>"011610330"</f>
        <v>011610330</v>
      </c>
      <c r="D1023" s="3" t="s">
        <v>706</v>
      </c>
      <c r="E1023" s="3" t="s">
        <v>2190</v>
      </c>
      <c r="F1023" s="3" t="s">
        <v>2191</v>
      </c>
      <c r="G1023" s="3">
        <v>223.82</v>
      </c>
    </row>
    <row r="1024" spans="1:7" x14ac:dyDescent="0.25">
      <c r="A1024" s="1" t="s">
        <v>3169</v>
      </c>
      <c r="B1024" s="2">
        <v>77</v>
      </c>
      <c r="C1024" s="3" t="str">
        <f>"011610331"</f>
        <v>011610331</v>
      </c>
      <c r="D1024" s="3" t="s">
        <v>706</v>
      </c>
      <c r="E1024" s="3" t="s">
        <v>2192</v>
      </c>
      <c r="F1024" s="3" t="s">
        <v>2193</v>
      </c>
      <c r="G1024" s="3">
        <v>223.82</v>
      </c>
    </row>
    <row r="1025" spans="1:7" x14ac:dyDescent="0.25">
      <c r="A1025" s="1" t="s">
        <v>3169</v>
      </c>
      <c r="B1025" s="2">
        <v>77</v>
      </c>
      <c r="C1025" s="3" t="str">
        <f>"011610332"</f>
        <v>011610332</v>
      </c>
      <c r="D1025" s="3" t="s">
        <v>706</v>
      </c>
      <c r="E1025" s="3" t="s">
        <v>2194</v>
      </c>
      <c r="F1025" s="3" t="s">
        <v>2195</v>
      </c>
      <c r="G1025" s="3">
        <v>223.82</v>
      </c>
    </row>
    <row r="1026" spans="1:7" x14ac:dyDescent="0.25">
      <c r="A1026" s="1" t="s">
        <v>3169</v>
      </c>
      <c r="B1026" s="2">
        <v>77</v>
      </c>
      <c r="C1026" s="3" t="str">
        <f>"011610333"</f>
        <v>011610333</v>
      </c>
      <c r="D1026" s="3" t="s">
        <v>706</v>
      </c>
      <c r="E1026" s="3" t="s">
        <v>2196</v>
      </c>
      <c r="F1026" s="3" t="s">
        <v>2197</v>
      </c>
      <c r="G1026" s="3">
        <v>223.82</v>
      </c>
    </row>
    <row r="1027" spans="1:7" x14ac:dyDescent="0.25">
      <c r="A1027" s="1" t="s">
        <v>3169</v>
      </c>
      <c r="B1027" s="2">
        <v>77</v>
      </c>
      <c r="C1027" s="3" t="str">
        <f>"011610334"</f>
        <v>011610334</v>
      </c>
      <c r="D1027" s="3" t="s">
        <v>706</v>
      </c>
      <c r="E1027" s="3"/>
      <c r="F1027" s="3" t="s">
        <v>2198</v>
      </c>
      <c r="G1027" s="3">
        <v>223.82</v>
      </c>
    </row>
    <row r="1028" spans="1:7" x14ac:dyDescent="0.25">
      <c r="A1028" s="1" t="s">
        <v>3169</v>
      </c>
      <c r="B1028" s="2">
        <v>77</v>
      </c>
      <c r="C1028" s="3" t="str">
        <f>"011610335"</f>
        <v>011610335</v>
      </c>
      <c r="D1028" s="3" t="s">
        <v>706</v>
      </c>
      <c r="E1028" s="3"/>
      <c r="F1028" s="3" t="s">
        <v>2199</v>
      </c>
      <c r="G1028" s="3">
        <v>223.82</v>
      </c>
    </row>
    <row r="1029" spans="1:7" x14ac:dyDescent="0.25">
      <c r="A1029" s="1" t="s">
        <v>3169</v>
      </c>
      <c r="B1029" s="2">
        <v>77</v>
      </c>
      <c r="C1029" s="3" t="str">
        <f>"011610336"</f>
        <v>011610336</v>
      </c>
      <c r="D1029" s="3" t="s">
        <v>706</v>
      </c>
      <c r="E1029" s="3" t="s">
        <v>2200</v>
      </c>
      <c r="F1029" s="3" t="s">
        <v>2201</v>
      </c>
      <c r="G1029" s="3">
        <v>223.82</v>
      </c>
    </row>
    <row r="1030" spans="1:7" x14ac:dyDescent="0.25">
      <c r="A1030" s="1" t="s">
        <v>3169</v>
      </c>
      <c r="B1030" s="2">
        <v>77</v>
      </c>
      <c r="C1030" s="3" t="str">
        <f>"011610337"</f>
        <v>011610337</v>
      </c>
      <c r="D1030" s="3" t="s">
        <v>706</v>
      </c>
      <c r="E1030" s="3" t="s">
        <v>2202</v>
      </c>
      <c r="F1030" s="3" t="s">
        <v>2203</v>
      </c>
      <c r="G1030" s="3">
        <v>223.82</v>
      </c>
    </row>
    <row r="1031" spans="1:7" x14ac:dyDescent="0.25">
      <c r="A1031" s="1" t="s">
        <v>3169</v>
      </c>
      <c r="B1031" s="2">
        <v>77</v>
      </c>
      <c r="C1031" s="3" t="str">
        <f>"011610338"</f>
        <v>011610338</v>
      </c>
      <c r="D1031" s="3" t="s">
        <v>706</v>
      </c>
      <c r="E1031" s="3" t="s">
        <v>2204</v>
      </c>
      <c r="F1031" s="3" t="s">
        <v>2205</v>
      </c>
      <c r="G1031" s="3">
        <v>223.82</v>
      </c>
    </row>
    <row r="1032" spans="1:7" x14ac:dyDescent="0.25">
      <c r="A1032" s="1" t="s">
        <v>3169</v>
      </c>
      <c r="B1032" s="2">
        <v>77</v>
      </c>
      <c r="C1032" s="3" t="str">
        <f>"011610339"</f>
        <v>011610339</v>
      </c>
      <c r="D1032" s="3" t="s">
        <v>706</v>
      </c>
      <c r="E1032" s="3" t="s">
        <v>2206</v>
      </c>
      <c r="F1032" s="3" t="s">
        <v>2207</v>
      </c>
      <c r="G1032" s="3">
        <v>223.82</v>
      </c>
    </row>
    <row r="1033" spans="1:7" x14ac:dyDescent="0.25">
      <c r="A1033" s="1" t="s">
        <v>3169</v>
      </c>
      <c r="B1033" s="2">
        <v>77</v>
      </c>
      <c r="C1033" s="3" t="str">
        <f>"011610340"</f>
        <v>011610340</v>
      </c>
      <c r="D1033" s="3" t="s">
        <v>706</v>
      </c>
      <c r="E1033" s="3" t="s">
        <v>2208</v>
      </c>
      <c r="F1033" s="3" t="s">
        <v>2209</v>
      </c>
      <c r="G1033" s="3">
        <v>223.82</v>
      </c>
    </row>
    <row r="1034" spans="1:7" x14ac:dyDescent="0.25">
      <c r="A1034" s="1" t="s">
        <v>3169</v>
      </c>
      <c r="B1034" s="2">
        <v>77</v>
      </c>
      <c r="C1034" s="3" t="str">
        <f>"011610341"</f>
        <v>011610341</v>
      </c>
      <c r="D1034" s="3" t="s">
        <v>706</v>
      </c>
      <c r="E1034" s="3" t="s">
        <v>2210</v>
      </c>
      <c r="F1034" s="3" t="s">
        <v>2211</v>
      </c>
      <c r="G1034" s="3">
        <v>223.82</v>
      </c>
    </row>
    <row r="1035" spans="1:7" x14ac:dyDescent="0.25">
      <c r="A1035" s="1" t="s">
        <v>3169</v>
      </c>
      <c r="B1035" s="2">
        <v>77</v>
      </c>
      <c r="C1035" s="3" t="str">
        <f>"011610342"</f>
        <v>011610342</v>
      </c>
      <c r="D1035" s="3" t="s">
        <v>706</v>
      </c>
      <c r="E1035" s="3" t="s">
        <v>2212</v>
      </c>
      <c r="F1035" s="3" t="s">
        <v>2213</v>
      </c>
      <c r="G1035" s="3">
        <v>223.82</v>
      </c>
    </row>
    <row r="1036" spans="1:7" x14ac:dyDescent="0.25">
      <c r="A1036" s="1" t="s">
        <v>3169</v>
      </c>
      <c r="B1036" s="2">
        <v>77</v>
      </c>
      <c r="C1036" s="3" t="str">
        <f>"011610343"</f>
        <v>011610343</v>
      </c>
      <c r="D1036" s="3" t="s">
        <v>706</v>
      </c>
      <c r="E1036" s="3" t="s">
        <v>2214</v>
      </c>
      <c r="F1036" s="3" t="s">
        <v>2215</v>
      </c>
      <c r="G1036" s="3">
        <v>223.82</v>
      </c>
    </row>
    <row r="1037" spans="1:7" x14ac:dyDescent="0.25">
      <c r="A1037" s="1" t="s">
        <v>3169</v>
      </c>
      <c r="B1037" s="2">
        <v>77</v>
      </c>
      <c r="C1037" s="3" t="str">
        <f>"011610344"</f>
        <v>011610344</v>
      </c>
      <c r="D1037" s="3" t="s">
        <v>706</v>
      </c>
      <c r="E1037" s="3" t="s">
        <v>2216</v>
      </c>
      <c r="F1037" s="3" t="s">
        <v>2217</v>
      </c>
      <c r="G1037" s="3">
        <v>223.82</v>
      </c>
    </row>
    <row r="1038" spans="1:7" x14ac:dyDescent="0.25">
      <c r="A1038" s="1" t="s">
        <v>3169</v>
      </c>
      <c r="B1038" s="2">
        <v>77</v>
      </c>
      <c r="C1038" s="3" t="str">
        <f>"011610345"</f>
        <v>011610345</v>
      </c>
      <c r="D1038" s="3" t="s">
        <v>706</v>
      </c>
      <c r="E1038" s="3" t="s">
        <v>2218</v>
      </c>
      <c r="F1038" s="3" t="s">
        <v>2219</v>
      </c>
      <c r="G1038" s="3">
        <v>223.82</v>
      </c>
    </row>
    <row r="1039" spans="1:7" x14ac:dyDescent="0.25">
      <c r="A1039" s="1" t="s">
        <v>3169</v>
      </c>
      <c r="B1039" s="2">
        <v>77</v>
      </c>
      <c r="C1039" s="3" t="str">
        <f>"011610346"</f>
        <v>011610346</v>
      </c>
      <c r="D1039" s="3" t="s">
        <v>706</v>
      </c>
      <c r="E1039" s="3" t="s">
        <v>2220</v>
      </c>
      <c r="F1039" s="3" t="s">
        <v>2221</v>
      </c>
      <c r="G1039" s="3">
        <v>223.82</v>
      </c>
    </row>
    <row r="1040" spans="1:7" x14ac:dyDescent="0.25">
      <c r="A1040" s="1" t="s">
        <v>3169</v>
      </c>
      <c r="B1040" s="2">
        <v>77</v>
      </c>
      <c r="C1040" s="3" t="str">
        <f>"011610347"</f>
        <v>011610347</v>
      </c>
      <c r="D1040" s="3" t="s">
        <v>706</v>
      </c>
      <c r="E1040" s="3"/>
      <c r="F1040" s="3" t="s">
        <v>2222</v>
      </c>
      <c r="G1040" s="3">
        <v>223.82</v>
      </c>
    </row>
    <row r="1041" spans="1:7" x14ac:dyDescent="0.25">
      <c r="A1041" s="1" t="s">
        <v>3169</v>
      </c>
      <c r="B1041" s="2">
        <v>77</v>
      </c>
      <c r="C1041" s="3" t="str">
        <f>"011610348"</f>
        <v>011610348</v>
      </c>
      <c r="D1041" s="3" t="s">
        <v>706</v>
      </c>
      <c r="E1041" s="3"/>
      <c r="F1041" s="3" t="s">
        <v>2223</v>
      </c>
      <c r="G1041" s="3">
        <v>223.82</v>
      </c>
    </row>
    <row r="1042" spans="1:7" x14ac:dyDescent="0.25">
      <c r="A1042" s="1" t="s">
        <v>3169</v>
      </c>
      <c r="B1042" s="2">
        <v>77</v>
      </c>
      <c r="C1042" s="3" t="str">
        <f>"011610349"</f>
        <v>011610349</v>
      </c>
      <c r="D1042" s="3" t="s">
        <v>706</v>
      </c>
      <c r="E1042" s="3" t="s">
        <v>2224</v>
      </c>
      <c r="F1042" s="3" t="s">
        <v>2225</v>
      </c>
      <c r="G1042" s="3">
        <v>223.82</v>
      </c>
    </row>
    <row r="1043" spans="1:7" x14ac:dyDescent="0.25">
      <c r="A1043" s="1" t="s">
        <v>3169</v>
      </c>
      <c r="B1043" s="2">
        <v>77</v>
      </c>
      <c r="C1043" s="3" t="str">
        <f>"011610350"</f>
        <v>011610350</v>
      </c>
      <c r="D1043" s="3" t="s">
        <v>706</v>
      </c>
      <c r="E1043" s="3" t="s">
        <v>2226</v>
      </c>
      <c r="F1043" s="3" t="s">
        <v>2227</v>
      </c>
      <c r="G1043" s="3">
        <v>223.82</v>
      </c>
    </row>
    <row r="1044" spans="1:7" x14ac:dyDescent="0.25">
      <c r="A1044" s="1" t="s">
        <v>3169</v>
      </c>
      <c r="B1044" s="2">
        <v>77</v>
      </c>
      <c r="C1044" s="3" t="str">
        <f>"011610351"</f>
        <v>011610351</v>
      </c>
      <c r="D1044" s="3" t="s">
        <v>706</v>
      </c>
      <c r="E1044" s="3" t="s">
        <v>2228</v>
      </c>
      <c r="F1044" s="3" t="s">
        <v>2229</v>
      </c>
      <c r="G1044" s="3">
        <v>223.82</v>
      </c>
    </row>
    <row r="1045" spans="1:7" x14ac:dyDescent="0.25">
      <c r="A1045" s="1" t="s">
        <v>3169</v>
      </c>
      <c r="B1045" s="2">
        <v>77</v>
      </c>
      <c r="C1045" s="3" t="str">
        <f>"011610352"</f>
        <v>011610352</v>
      </c>
      <c r="D1045" s="3" t="s">
        <v>706</v>
      </c>
      <c r="E1045" s="3" t="s">
        <v>2230</v>
      </c>
      <c r="F1045" s="3" t="s">
        <v>2231</v>
      </c>
      <c r="G1045" s="3">
        <v>223.82</v>
      </c>
    </row>
    <row r="1046" spans="1:7" x14ac:dyDescent="0.25">
      <c r="A1046" s="1" t="s">
        <v>3169</v>
      </c>
      <c r="B1046" s="2">
        <v>77</v>
      </c>
      <c r="C1046" s="3" t="str">
        <f>"011610353"</f>
        <v>011610353</v>
      </c>
      <c r="D1046" s="3" t="s">
        <v>706</v>
      </c>
      <c r="E1046" s="3" t="s">
        <v>2232</v>
      </c>
      <c r="F1046" s="3" t="s">
        <v>2233</v>
      </c>
      <c r="G1046" s="3">
        <v>223.82</v>
      </c>
    </row>
    <row r="1047" spans="1:7" x14ac:dyDescent="0.25">
      <c r="A1047" s="1" t="s">
        <v>3169</v>
      </c>
      <c r="B1047" s="2">
        <v>77</v>
      </c>
      <c r="C1047" s="3" t="str">
        <f>"011610354"</f>
        <v>011610354</v>
      </c>
      <c r="D1047" s="3" t="s">
        <v>706</v>
      </c>
      <c r="E1047" s="3" t="s">
        <v>2234</v>
      </c>
      <c r="F1047" s="3" t="s">
        <v>2235</v>
      </c>
      <c r="G1047" s="3">
        <v>223.82</v>
      </c>
    </row>
    <row r="1048" spans="1:7" x14ac:dyDescent="0.25">
      <c r="A1048" s="1" t="s">
        <v>3169</v>
      </c>
      <c r="B1048" s="2">
        <v>77</v>
      </c>
      <c r="C1048" s="3" t="str">
        <f>"011610355"</f>
        <v>011610355</v>
      </c>
      <c r="D1048" s="3" t="s">
        <v>706</v>
      </c>
      <c r="E1048" s="3" t="s">
        <v>2236</v>
      </c>
      <c r="F1048" s="3" t="s">
        <v>2237</v>
      </c>
      <c r="G1048" s="3">
        <v>223.82</v>
      </c>
    </row>
    <row r="1049" spans="1:7" x14ac:dyDescent="0.25">
      <c r="A1049" s="1" t="s">
        <v>3169</v>
      </c>
      <c r="B1049" s="2">
        <v>77</v>
      </c>
      <c r="C1049" s="3" t="str">
        <f>"011610356"</f>
        <v>011610356</v>
      </c>
      <c r="D1049" s="3" t="s">
        <v>706</v>
      </c>
      <c r="E1049" s="3" t="s">
        <v>2238</v>
      </c>
      <c r="F1049" s="3" t="s">
        <v>2239</v>
      </c>
      <c r="G1049" s="3">
        <v>223.82</v>
      </c>
    </row>
    <row r="1050" spans="1:7" x14ac:dyDescent="0.25">
      <c r="A1050" s="1" t="s">
        <v>3169</v>
      </c>
      <c r="B1050" s="2">
        <v>77</v>
      </c>
      <c r="C1050" s="3" t="str">
        <f>"011610357"</f>
        <v>011610357</v>
      </c>
      <c r="D1050" s="3" t="s">
        <v>706</v>
      </c>
      <c r="E1050" s="3" t="s">
        <v>2240</v>
      </c>
      <c r="F1050" s="3" t="s">
        <v>2241</v>
      </c>
      <c r="G1050" s="3">
        <v>223.82</v>
      </c>
    </row>
    <row r="1051" spans="1:7" x14ac:dyDescent="0.25">
      <c r="A1051" s="1" t="s">
        <v>3169</v>
      </c>
      <c r="B1051" s="2">
        <v>77</v>
      </c>
      <c r="C1051" s="3" t="str">
        <f>"011610358"</f>
        <v>011610358</v>
      </c>
      <c r="D1051" s="3" t="s">
        <v>706</v>
      </c>
      <c r="E1051" s="3" t="s">
        <v>2242</v>
      </c>
      <c r="F1051" s="3" t="s">
        <v>2243</v>
      </c>
      <c r="G1051" s="3">
        <v>223.82</v>
      </c>
    </row>
    <row r="1052" spans="1:7" x14ac:dyDescent="0.25">
      <c r="A1052" s="1" t="s">
        <v>3169</v>
      </c>
      <c r="B1052" s="2">
        <v>77</v>
      </c>
      <c r="C1052" s="3" t="str">
        <f>"011610359"</f>
        <v>011610359</v>
      </c>
      <c r="D1052" s="3" t="s">
        <v>706</v>
      </c>
      <c r="E1052" s="3" t="s">
        <v>2244</v>
      </c>
      <c r="F1052" s="3" t="s">
        <v>2245</v>
      </c>
      <c r="G1052" s="3">
        <v>223.82</v>
      </c>
    </row>
    <row r="1053" spans="1:7" x14ac:dyDescent="0.25">
      <c r="A1053" s="1" t="s">
        <v>3169</v>
      </c>
      <c r="B1053" s="2">
        <v>77</v>
      </c>
      <c r="C1053" s="3" t="str">
        <f>"011610360"</f>
        <v>011610360</v>
      </c>
      <c r="D1053" s="3" t="s">
        <v>706</v>
      </c>
      <c r="E1053" s="3"/>
      <c r="F1053" s="3" t="s">
        <v>2246</v>
      </c>
      <c r="G1053" s="3">
        <v>223.82</v>
      </c>
    </row>
    <row r="1054" spans="1:7" x14ac:dyDescent="0.25">
      <c r="A1054" s="1" t="s">
        <v>3169</v>
      </c>
      <c r="B1054" s="2">
        <v>77</v>
      </c>
      <c r="C1054" s="3" t="str">
        <f>"011610361"</f>
        <v>011610361</v>
      </c>
      <c r="D1054" s="3" t="s">
        <v>706</v>
      </c>
      <c r="E1054" s="3"/>
      <c r="F1054" s="3" t="s">
        <v>2247</v>
      </c>
      <c r="G1054" s="3">
        <v>223.82</v>
      </c>
    </row>
    <row r="1055" spans="1:7" x14ac:dyDescent="0.25">
      <c r="A1055" s="1" t="s">
        <v>3169</v>
      </c>
      <c r="B1055" s="2">
        <v>77</v>
      </c>
      <c r="C1055" s="3" t="str">
        <f>"011610362"</f>
        <v>011610362</v>
      </c>
      <c r="D1055" s="3" t="s">
        <v>706</v>
      </c>
      <c r="E1055" s="3" t="s">
        <v>2248</v>
      </c>
      <c r="F1055" s="3" t="s">
        <v>2249</v>
      </c>
      <c r="G1055" s="3">
        <v>223.82</v>
      </c>
    </row>
    <row r="1056" spans="1:7" x14ac:dyDescent="0.25">
      <c r="A1056" s="1" t="s">
        <v>3169</v>
      </c>
      <c r="B1056" s="2">
        <v>77</v>
      </c>
      <c r="C1056" s="3" t="str">
        <f>"011610363"</f>
        <v>011610363</v>
      </c>
      <c r="D1056" s="3" t="s">
        <v>706</v>
      </c>
      <c r="E1056" s="3" t="s">
        <v>2250</v>
      </c>
      <c r="F1056" s="3" t="s">
        <v>2251</v>
      </c>
      <c r="G1056" s="3">
        <v>223.82</v>
      </c>
    </row>
    <row r="1057" spans="1:7" x14ac:dyDescent="0.25">
      <c r="A1057" s="1" t="s">
        <v>3169</v>
      </c>
      <c r="B1057" s="2">
        <v>77</v>
      </c>
      <c r="C1057" s="3" t="str">
        <f>"011610364"</f>
        <v>011610364</v>
      </c>
      <c r="D1057" s="3" t="s">
        <v>706</v>
      </c>
      <c r="E1057" s="3" t="s">
        <v>2252</v>
      </c>
      <c r="F1057" s="3" t="s">
        <v>2253</v>
      </c>
      <c r="G1057" s="3">
        <v>223.82</v>
      </c>
    </row>
    <row r="1058" spans="1:7" x14ac:dyDescent="0.25">
      <c r="A1058" s="1" t="s">
        <v>3169</v>
      </c>
      <c r="B1058" s="2">
        <v>77</v>
      </c>
      <c r="C1058" s="3" t="str">
        <f>"011610365"</f>
        <v>011610365</v>
      </c>
      <c r="D1058" s="3" t="s">
        <v>706</v>
      </c>
      <c r="E1058" s="3" t="s">
        <v>2254</v>
      </c>
      <c r="F1058" s="3" t="s">
        <v>2255</v>
      </c>
      <c r="G1058" s="3">
        <v>223.82</v>
      </c>
    </row>
    <row r="1059" spans="1:7" x14ac:dyDescent="0.25">
      <c r="A1059" s="1" t="s">
        <v>3169</v>
      </c>
      <c r="B1059" s="2">
        <v>77</v>
      </c>
      <c r="C1059" s="3" t="str">
        <f>"011610366"</f>
        <v>011610366</v>
      </c>
      <c r="D1059" s="3" t="s">
        <v>706</v>
      </c>
      <c r="E1059" s="3" t="s">
        <v>2256</v>
      </c>
      <c r="F1059" s="3" t="s">
        <v>2257</v>
      </c>
      <c r="G1059" s="3">
        <v>223.82</v>
      </c>
    </row>
    <row r="1060" spans="1:7" x14ac:dyDescent="0.25">
      <c r="A1060" s="1" t="s">
        <v>3169</v>
      </c>
      <c r="B1060" s="2">
        <v>77</v>
      </c>
      <c r="C1060" s="3" t="str">
        <f>"011610367"</f>
        <v>011610367</v>
      </c>
      <c r="D1060" s="3" t="s">
        <v>706</v>
      </c>
      <c r="E1060" s="3" t="s">
        <v>2258</v>
      </c>
      <c r="F1060" s="3" t="s">
        <v>2259</v>
      </c>
      <c r="G1060" s="3">
        <v>223.82</v>
      </c>
    </row>
    <row r="1061" spans="1:7" x14ac:dyDescent="0.25">
      <c r="A1061" s="1" t="s">
        <v>3169</v>
      </c>
      <c r="B1061" s="2">
        <v>77</v>
      </c>
      <c r="C1061" s="3" t="str">
        <f>"011610368"</f>
        <v>011610368</v>
      </c>
      <c r="D1061" s="3" t="s">
        <v>706</v>
      </c>
      <c r="E1061" s="3" t="s">
        <v>2260</v>
      </c>
      <c r="F1061" s="3" t="s">
        <v>2261</v>
      </c>
      <c r="G1061" s="3">
        <v>223.82</v>
      </c>
    </row>
    <row r="1062" spans="1:7" x14ac:dyDescent="0.25">
      <c r="A1062" s="1" t="s">
        <v>3169</v>
      </c>
      <c r="B1062" s="2">
        <v>77</v>
      </c>
      <c r="C1062" s="3" t="str">
        <f>"011610369"</f>
        <v>011610369</v>
      </c>
      <c r="D1062" s="3" t="s">
        <v>706</v>
      </c>
      <c r="E1062" s="3" t="s">
        <v>2262</v>
      </c>
      <c r="F1062" s="3" t="s">
        <v>2263</v>
      </c>
      <c r="G1062" s="3">
        <v>223.82</v>
      </c>
    </row>
    <row r="1063" spans="1:7" x14ac:dyDescent="0.25">
      <c r="A1063" s="1" t="s">
        <v>3169</v>
      </c>
      <c r="B1063" s="2">
        <v>77</v>
      </c>
      <c r="C1063" s="3" t="str">
        <f>"011610370"</f>
        <v>011610370</v>
      </c>
      <c r="D1063" s="3" t="s">
        <v>706</v>
      </c>
      <c r="E1063" s="3" t="s">
        <v>2264</v>
      </c>
      <c r="F1063" s="3" t="s">
        <v>2265</v>
      </c>
      <c r="G1063" s="3">
        <v>223.82</v>
      </c>
    </row>
    <row r="1064" spans="1:7" x14ac:dyDescent="0.25">
      <c r="A1064" s="1" t="s">
        <v>3169</v>
      </c>
      <c r="B1064" s="2">
        <v>77</v>
      </c>
      <c r="C1064" s="3" t="str">
        <f>"011610371"</f>
        <v>011610371</v>
      </c>
      <c r="D1064" s="3" t="s">
        <v>706</v>
      </c>
      <c r="E1064" s="3" t="s">
        <v>2266</v>
      </c>
      <c r="F1064" s="3" t="s">
        <v>2267</v>
      </c>
      <c r="G1064" s="3">
        <v>223.82</v>
      </c>
    </row>
    <row r="1065" spans="1:7" x14ac:dyDescent="0.25">
      <c r="A1065" s="1" t="s">
        <v>3169</v>
      </c>
      <c r="B1065" s="2">
        <v>77</v>
      </c>
      <c r="C1065" s="3" t="str">
        <f>"011610372"</f>
        <v>011610372</v>
      </c>
      <c r="D1065" s="3" t="s">
        <v>706</v>
      </c>
      <c r="E1065" s="3" t="s">
        <v>2268</v>
      </c>
      <c r="F1065" s="3" t="s">
        <v>2269</v>
      </c>
      <c r="G1065" s="3">
        <v>223.82</v>
      </c>
    </row>
    <row r="1066" spans="1:7" x14ac:dyDescent="0.25">
      <c r="A1066" s="1" t="s">
        <v>3169</v>
      </c>
      <c r="B1066" s="2">
        <v>77</v>
      </c>
      <c r="C1066" s="3" t="str">
        <f>"011610373"</f>
        <v>011610373</v>
      </c>
      <c r="D1066" s="3" t="s">
        <v>706</v>
      </c>
      <c r="E1066" s="3"/>
      <c r="F1066" s="3" t="s">
        <v>2270</v>
      </c>
      <c r="G1066" s="3">
        <v>223.82</v>
      </c>
    </row>
    <row r="1067" spans="1:7" x14ac:dyDescent="0.25">
      <c r="A1067" s="1" t="s">
        <v>3169</v>
      </c>
      <c r="B1067" s="2">
        <v>77</v>
      </c>
      <c r="C1067" s="3" t="str">
        <f>"011610374"</f>
        <v>011610374</v>
      </c>
      <c r="D1067" s="3" t="s">
        <v>706</v>
      </c>
      <c r="E1067" s="3"/>
      <c r="F1067" s="3" t="s">
        <v>2271</v>
      </c>
      <c r="G1067" s="3">
        <v>223.82</v>
      </c>
    </row>
    <row r="1068" spans="1:7" x14ac:dyDescent="0.25">
      <c r="A1068" s="1" t="s">
        <v>3169</v>
      </c>
      <c r="B1068" s="2">
        <v>77</v>
      </c>
      <c r="C1068" s="3" t="str">
        <f>"011610375"</f>
        <v>011610375</v>
      </c>
      <c r="D1068" s="3" t="s">
        <v>706</v>
      </c>
      <c r="E1068" s="3" t="s">
        <v>2272</v>
      </c>
      <c r="F1068" s="3" t="s">
        <v>2273</v>
      </c>
      <c r="G1068" s="3">
        <v>223.82</v>
      </c>
    </row>
    <row r="1069" spans="1:7" x14ac:dyDescent="0.25">
      <c r="A1069" s="1" t="s">
        <v>3169</v>
      </c>
      <c r="B1069" s="2">
        <v>77</v>
      </c>
      <c r="C1069" s="3" t="str">
        <f>"011610376"</f>
        <v>011610376</v>
      </c>
      <c r="D1069" s="3" t="s">
        <v>706</v>
      </c>
      <c r="E1069" s="3" t="s">
        <v>2274</v>
      </c>
      <c r="F1069" s="3" t="s">
        <v>2275</v>
      </c>
      <c r="G1069" s="3">
        <v>223.82</v>
      </c>
    </row>
    <row r="1070" spans="1:7" x14ac:dyDescent="0.25">
      <c r="A1070" s="1" t="s">
        <v>3169</v>
      </c>
      <c r="B1070" s="2">
        <v>77</v>
      </c>
      <c r="C1070" s="3" t="str">
        <f>"011610377"</f>
        <v>011610377</v>
      </c>
      <c r="D1070" s="3" t="s">
        <v>706</v>
      </c>
      <c r="E1070" s="3" t="s">
        <v>2276</v>
      </c>
      <c r="F1070" s="3" t="s">
        <v>2277</v>
      </c>
      <c r="G1070" s="3">
        <v>223.82</v>
      </c>
    </row>
    <row r="1071" spans="1:7" x14ac:dyDescent="0.25">
      <c r="A1071" s="1" t="s">
        <v>3169</v>
      </c>
      <c r="B1071" s="2">
        <v>77</v>
      </c>
      <c r="C1071" s="3" t="str">
        <f>"011610378"</f>
        <v>011610378</v>
      </c>
      <c r="D1071" s="3" t="s">
        <v>706</v>
      </c>
      <c r="E1071" s="3" t="s">
        <v>2278</v>
      </c>
      <c r="F1071" s="3" t="s">
        <v>2279</v>
      </c>
      <c r="G1071" s="3">
        <v>223.82</v>
      </c>
    </row>
    <row r="1072" spans="1:7" x14ac:dyDescent="0.25">
      <c r="A1072" s="1" t="s">
        <v>3169</v>
      </c>
      <c r="B1072" s="2">
        <v>77</v>
      </c>
      <c r="C1072" s="3" t="str">
        <f>"011610379"</f>
        <v>011610379</v>
      </c>
      <c r="D1072" s="3" t="s">
        <v>706</v>
      </c>
      <c r="E1072" s="3" t="s">
        <v>2280</v>
      </c>
      <c r="F1072" s="3" t="s">
        <v>2281</v>
      </c>
      <c r="G1072" s="3">
        <v>223.82</v>
      </c>
    </row>
    <row r="1073" spans="1:7" x14ac:dyDescent="0.25">
      <c r="A1073" s="1" t="s">
        <v>3169</v>
      </c>
      <c r="B1073" s="2">
        <v>77</v>
      </c>
      <c r="C1073" s="3" t="str">
        <f>"011610380"</f>
        <v>011610380</v>
      </c>
      <c r="D1073" s="3" t="s">
        <v>706</v>
      </c>
      <c r="E1073" s="3" t="s">
        <v>2282</v>
      </c>
      <c r="F1073" s="3" t="s">
        <v>2283</v>
      </c>
      <c r="G1073" s="3">
        <v>223.82</v>
      </c>
    </row>
    <row r="1074" spans="1:7" x14ac:dyDescent="0.25">
      <c r="A1074" s="1" t="s">
        <v>3169</v>
      </c>
      <c r="B1074" s="2">
        <v>77</v>
      </c>
      <c r="C1074" s="3" t="str">
        <f>"011610381"</f>
        <v>011610381</v>
      </c>
      <c r="D1074" s="3" t="s">
        <v>706</v>
      </c>
      <c r="E1074" s="3" t="s">
        <v>2284</v>
      </c>
      <c r="F1074" s="3" t="s">
        <v>2285</v>
      </c>
      <c r="G1074" s="3">
        <v>223.82</v>
      </c>
    </row>
    <row r="1075" spans="1:7" x14ac:dyDescent="0.25">
      <c r="A1075" s="1" t="s">
        <v>3169</v>
      </c>
      <c r="B1075" s="2">
        <v>77</v>
      </c>
      <c r="C1075" s="3" t="str">
        <f>"011610382"</f>
        <v>011610382</v>
      </c>
      <c r="D1075" s="3" t="s">
        <v>706</v>
      </c>
      <c r="E1075" s="3" t="s">
        <v>2286</v>
      </c>
      <c r="F1075" s="3" t="s">
        <v>2287</v>
      </c>
      <c r="G1075" s="3">
        <v>223.82</v>
      </c>
    </row>
    <row r="1076" spans="1:7" x14ac:dyDescent="0.25">
      <c r="A1076" s="1" t="s">
        <v>3169</v>
      </c>
      <c r="B1076" s="2">
        <v>77</v>
      </c>
      <c r="C1076" s="3" t="str">
        <f>"011610383"</f>
        <v>011610383</v>
      </c>
      <c r="D1076" s="3" t="s">
        <v>706</v>
      </c>
      <c r="E1076" s="3" t="s">
        <v>2288</v>
      </c>
      <c r="F1076" s="3" t="s">
        <v>2289</v>
      </c>
      <c r="G1076" s="3">
        <v>223.82</v>
      </c>
    </row>
    <row r="1077" spans="1:7" x14ac:dyDescent="0.25">
      <c r="A1077" s="1" t="s">
        <v>3169</v>
      </c>
      <c r="B1077" s="2">
        <v>77</v>
      </c>
      <c r="C1077" s="3" t="str">
        <f>"011610384"</f>
        <v>011610384</v>
      </c>
      <c r="D1077" s="3" t="s">
        <v>706</v>
      </c>
      <c r="E1077" s="3" t="s">
        <v>2290</v>
      </c>
      <c r="F1077" s="3" t="s">
        <v>2291</v>
      </c>
      <c r="G1077" s="3">
        <v>223.82</v>
      </c>
    </row>
    <row r="1078" spans="1:7" x14ac:dyDescent="0.25">
      <c r="A1078" s="1" t="s">
        <v>3169</v>
      </c>
      <c r="B1078" s="2">
        <v>77</v>
      </c>
      <c r="C1078" s="3" t="str">
        <f>"011610385"</f>
        <v>011610385</v>
      </c>
      <c r="D1078" s="3" t="s">
        <v>706</v>
      </c>
      <c r="E1078" s="3" t="s">
        <v>2292</v>
      </c>
      <c r="F1078" s="3" t="s">
        <v>2293</v>
      </c>
      <c r="G1078" s="3">
        <v>223.82</v>
      </c>
    </row>
    <row r="1079" spans="1:7" x14ac:dyDescent="0.25">
      <c r="A1079" s="1" t="s">
        <v>3169</v>
      </c>
      <c r="B1079" s="2">
        <v>77</v>
      </c>
      <c r="C1079" s="3" t="str">
        <f>"011610386"</f>
        <v>011610386</v>
      </c>
      <c r="D1079" s="3" t="s">
        <v>706</v>
      </c>
      <c r="E1079" s="3"/>
      <c r="F1079" s="3" t="s">
        <v>2294</v>
      </c>
      <c r="G1079" s="3">
        <v>223.82</v>
      </c>
    </row>
    <row r="1080" spans="1:7" x14ac:dyDescent="0.25">
      <c r="A1080" s="1" t="s">
        <v>3169</v>
      </c>
      <c r="B1080" s="2">
        <v>77</v>
      </c>
      <c r="C1080" s="3" t="str">
        <f>"011610387"</f>
        <v>011610387</v>
      </c>
      <c r="D1080" s="3" t="s">
        <v>706</v>
      </c>
      <c r="E1080" s="3"/>
      <c r="F1080" s="3" t="s">
        <v>2295</v>
      </c>
      <c r="G1080" s="3">
        <v>223.82</v>
      </c>
    </row>
    <row r="1081" spans="1:7" x14ac:dyDescent="0.25">
      <c r="A1081" s="1" t="s">
        <v>3169</v>
      </c>
      <c r="B1081" s="2">
        <v>77</v>
      </c>
      <c r="C1081" s="3" t="str">
        <f>"011610388"</f>
        <v>011610388</v>
      </c>
      <c r="D1081" s="3" t="s">
        <v>706</v>
      </c>
      <c r="E1081" s="3" t="s">
        <v>2296</v>
      </c>
      <c r="F1081" s="3" t="s">
        <v>2297</v>
      </c>
      <c r="G1081" s="3">
        <v>223.82</v>
      </c>
    </row>
    <row r="1082" spans="1:7" x14ac:dyDescent="0.25">
      <c r="A1082" s="1" t="s">
        <v>3169</v>
      </c>
      <c r="B1082" s="2">
        <v>77</v>
      </c>
      <c r="C1082" s="3" t="str">
        <f>"011610389"</f>
        <v>011610389</v>
      </c>
      <c r="D1082" s="3" t="s">
        <v>706</v>
      </c>
      <c r="E1082" s="3" t="s">
        <v>2298</v>
      </c>
      <c r="F1082" s="3" t="s">
        <v>2299</v>
      </c>
      <c r="G1082" s="3">
        <v>223.82</v>
      </c>
    </row>
    <row r="1083" spans="1:7" x14ac:dyDescent="0.25">
      <c r="A1083" s="1" t="s">
        <v>3169</v>
      </c>
      <c r="B1083" s="2">
        <v>77</v>
      </c>
      <c r="C1083" s="3" t="str">
        <f>"011610390"</f>
        <v>011610390</v>
      </c>
      <c r="D1083" s="3" t="s">
        <v>706</v>
      </c>
      <c r="E1083" s="3" t="s">
        <v>2300</v>
      </c>
      <c r="F1083" s="3" t="s">
        <v>2301</v>
      </c>
      <c r="G1083" s="3">
        <v>223.82</v>
      </c>
    </row>
    <row r="1084" spans="1:7" x14ac:dyDescent="0.25">
      <c r="A1084" s="1" t="s">
        <v>3169</v>
      </c>
      <c r="B1084" s="2">
        <v>77</v>
      </c>
      <c r="C1084" s="3" t="str">
        <f>"011610391"</f>
        <v>011610391</v>
      </c>
      <c r="D1084" s="3" t="s">
        <v>706</v>
      </c>
      <c r="E1084" s="3" t="s">
        <v>2302</v>
      </c>
      <c r="F1084" s="3" t="s">
        <v>2303</v>
      </c>
      <c r="G1084" s="3">
        <v>223.82</v>
      </c>
    </row>
    <row r="1085" spans="1:7" x14ac:dyDescent="0.25">
      <c r="A1085" s="1" t="s">
        <v>3169</v>
      </c>
      <c r="B1085" s="2">
        <v>77</v>
      </c>
      <c r="C1085" s="3" t="str">
        <f>"011610392"</f>
        <v>011610392</v>
      </c>
      <c r="D1085" s="3" t="s">
        <v>706</v>
      </c>
      <c r="E1085" s="3" t="s">
        <v>2304</v>
      </c>
      <c r="F1085" s="3" t="s">
        <v>2305</v>
      </c>
      <c r="G1085" s="3">
        <v>223.82</v>
      </c>
    </row>
    <row r="1086" spans="1:7" x14ac:dyDescent="0.25">
      <c r="A1086" s="1" t="s">
        <v>3169</v>
      </c>
      <c r="B1086" s="2">
        <v>77</v>
      </c>
      <c r="C1086" s="3" t="str">
        <f>"011610393"</f>
        <v>011610393</v>
      </c>
      <c r="D1086" s="3" t="s">
        <v>706</v>
      </c>
      <c r="E1086" s="3" t="s">
        <v>2306</v>
      </c>
      <c r="F1086" s="3" t="s">
        <v>2307</v>
      </c>
      <c r="G1086" s="3">
        <v>223.82</v>
      </c>
    </row>
    <row r="1087" spans="1:7" x14ac:dyDescent="0.25">
      <c r="A1087" s="1" t="s">
        <v>3169</v>
      </c>
      <c r="B1087" s="2">
        <v>77</v>
      </c>
      <c r="C1087" s="3" t="str">
        <f>"011610394"</f>
        <v>011610394</v>
      </c>
      <c r="D1087" s="3" t="s">
        <v>706</v>
      </c>
      <c r="E1087" s="3" t="s">
        <v>2308</v>
      </c>
      <c r="F1087" s="3" t="s">
        <v>2309</v>
      </c>
      <c r="G1087" s="3">
        <v>223.82</v>
      </c>
    </row>
    <row r="1088" spans="1:7" x14ac:dyDescent="0.25">
      <c r="A1088" s="1" t="s">
        <v>3169</v>
      </c>
      <c r="B1088" s="2">
        <v>77</v>
      </c>
      <c r="C1088" s="3" t="str">
        <f>"011610395"</f>
        <v>011610395</v>
      </c>
      <c r="D1088" s="3" t="s">
        <v>706</v>
      </c>
      <c r="E1088" s="3" t="s">
        <v>2310</v>
      </c>
      <c r="F1088" s="3" t="s">
        <v>2311</v>
      </c>
      <c r="G1088" s="3">
        <v>223.82</v>
      </c>
    </row>
    <row r="1089" spans="1:7" x14ac:dyDescent="0.25">
      <c r="A1089" s="1" t="s">
        <v>3169</v>
      </c>
      <c r="B1089" s="2">
        <v>77</v>
      </c>
      <c r="C1089" s="3" t="str">
        <f>"011610396"</f>
        <v>011610396</v>
      </c>
      <c r="D1089" s="3" t="s">
        <v>706</v>
      </c>
      <c r="E1089" s="3" t="s">
        <v>2312</v>
      </c>
      <c r="F1089" s="3" t="s">
        <v>2313</v>
      </c>
      <c r="G1089" s="3">
        <v>223.82</v>
      </c>
    </row>
    <row r="1090" spans="1:7" x14ac:dyDescent="0.25">
      <c r="A1090" s="1" t="s">
        <v>3169</v>
      </c>
      <c r="B1090" s="2">
        <v>77</v>
      </c>
      <c r="C1090" s="3" t="str">
        <f>"011610397"</f>
        <v>011610397</v>
      </c>
      <c r="D1090" s="3" t="s">
        <v>706</v>
      </c>
      <c r="E1090" s="3" t="s">
        <v>2314</v>
      </c>
      <c r="F1090" s="3" t="s">
        <v>2315</v>
      </c>
      <c r="G1090" s="3">
        <v>223.82</v>
      </c>
    </row>
    <row r="1091" spans="1:7" x14ac:dyDescent="0.25">
      <c r="A1091" s="1" t="s">
        <v>3169</v>
      </c>
      <c r="B1091" s="2">
        <v>77</v>
      </c>
      <c r="C1091" s="3" t="str">
        <f>"011610398"</f>
        <v>011610398</v>
      </c>
      <c r="D1091" s="3" t="s">
        <v>706</v>
      </c>
      <c r="E1091" s="3" t="s">
        <v>2316</v>
      </c>
      <c r="F1091" s="3" t="s">
        <v>2317</v>
      </c>
      <c r="G1091" s="3">
        <v>223.82</v>
      </c>
    </row>
    <row r="1092" spans="1:7" x14ac:dyDescent="0.25">
      <c r="A1092" s="1" t="s">
        <v>3169</v>
      </c>
      <c r="B1092" s="2">
        <v>77</v>
      </c>
      <c r="C1092" s="3" t="str">
        <f>"011610399"</f>
        <v>011610399</v>
      </c>
      <c r="D1092" s="3" t="s">
        <v>706</v>
      </c>
      <c r="E1092" s="3"/>
      <c r="F1092" s="3" t="s">
        <v>2318</v>
      </c>
      <c r="G1092" s="3">
        <v>223.82</v>
      </c>
    </row>
    <row r="1093" spans="1:7" x14ac:dyDescent="0.25">
      <c r="A1093" s="1" t="s">
        <v>3169</v>
      </c>
      <c r="B1093" s="2">
        <v>77</v>
      </c>
      <c r="C1093" s="3" t="str">
        <f>"011610400"</f>
        <v>011610400</v>
      </c>
      <c r="D1093" s="3" t="s">
        <v>706</v>
      </c>
      <c r="E1093" s="3"/>
      <c r="F1093" s="3" t="s">
        <v>2319</v>
      </c>
      <c r="G1093" s="3">
        <v>223.82</v>
      </c>
    </row>
    <row r="1094" spans="1:7" x14ac:dyDescent="0.25">
      <c r="A1094" s="1" t="s">
        <v>3169</v>
      </c>
      <c r="B1094" s="2">
        <v>77</v>
      </c>
      <c r="C1094" s="3" t="str">
        <f>"011610401"</f>
        <v>011610401</v>
      </c>
      <c r="D1094" s="3" t="s">
        <v>706</v>
      </c>
      <c r="E1094" s="3" t="s">
        <v>2320</v>
      </c>
      <c r="F1094" s="3" t="s">
        <v>2321</v>
      </c>
      <c r="G1094" s="3">
        <v>223.82</v>
      </c>
    </row>
    <row r="1095" spans="1:7" x14ac:dyDescent="0.25">
      <c r="A1095" s="1" t="s">
        <v>3169</v>
      </c>
      <c r="B1095" s="2">
        <v>77</v>
      </c>
      <c r="C1095" s="3" t="str">
        <f>"011610402"</f>
        <v>011610402</v>
      </c>
      <c r="D1095" s="3" t="s">
        <v>706</v>
      </c>
      <c r="E1095" s="3" t="s">
        <v>2322</v>
      </c>
      <c r="F1095" s="3" t="s">
        <v>2323</v>
      </c>
      <c r="G1095" s="3">
        <v>223.82</v>
      </c>
    </row>
    <row r="1096" spans="1:7" x14ac:dyDescent="0.25">
      <c r="A1096" s="1" t="s">
        <v>3169</v>
      </c>
      <c r="B1096" s="2">
        <v>77</v>
      </c>
      <c r="C1096" s="3" t="str">
        <f>"011610403"</f>
        <v>011610403</v>
      </c>
      <c r="D1096" s="3" t="s">
        <v>706</v>
      </c>
      <c r="E1096" s="3" t="s">
        <v>2324</v>
      </c>
      <c r="F1096" s="3" t="s">
        <v>2325</v>
      </c>
      <c r="G1096" s="3">
        <v>223.82</v>
      </c>
    </row>
    <row r="1097" spans="1:7" x14ac:dyDescent="0.25">
      <c r="A1097" s="1" t="s">
        <v>3169</v>
      </c>
      <c r="B1097" s="2">
        <v>77</v>
      </c>
      <c r="C1097" s="3" t="str">
        <f>"011610404"</f>
        <v>011610404</v>
      </c>
      <c r="D1097" s="3" t="s">
        <v>706</v>
      </c>
      <c r="E1097" s="3" t="s">
        <v>2326</v>
      </c>
      <c r="F1097" s="3" t="s">
        <v>2327</v>
      </c>
      <c r="G1097" s="3">
        <v>223.82</v>
      </c>
    </row>
    <row r="1098" spans="1:7" x14ac:dyDescent="0.25">
      <c r="A1098" s="1" t="s">
        <v>3169</v>
      </c>
      <c r="B1098" s="2">
        <v>77</v>
      </c>
      <c r="C1098" s="3" t="str">
        <f>"011610405"</f>
        <v>011610405</v>
      </c>
      <c r="D1098" s="3" t="s">
        <v>706</v>
      </c>
      <c r="E1098" s="3" t="s">
        <v>2328</v>
      </c>
      <c r="F1098" s="3" t="s">
        <v>2329</v>
      </c>
      <c r="G1098" s="3">
        <v>223.82</v>
      </c>
    </row>
    <row r="1099" spans="1:7" x14ac:dyDescent="0.25">
      <c r="A1099" s="1" t="s">
        <v>3169</v>
      </c>
      <c r="B1099" s="2">
        <v>77</v>
      </c>
      <c r="C1099" s="3" t="str">
        <f>"011610406"</f>
        <v>011610406</v>
      </c>
      <c r="D1099" s="3" t="s">
        <v>706</v>
      </c>
      <c r="E1099" s="3" t="s">
        <v>2330</v>
      </c>
      <c r="F1099" s="3" t="s">
        <v>2331</v>
      </c>
      <c r="G1099" s="3">
        <v>223.82</v>
      </c>
    </row>
    <row r="1100" spans="1:7" x14ac:dyDescent="0.25">
      <c r="A1100" s="1" t="s">
        <v>3169</v>
      </c>
      <c r="B1100" s="2">
        <v>77</v>
      </c>
      <c r="C1100" s="3" t="str">
        <f>"011610407"</f>
        <v>011610407</v>
      </c>
      <c r="D1100" s="3" t="s">
        <v>706</v>
      </c>
      <c r="E1100" s="3" t="s">
        <v>2332</v>
      </c>
      <c r="F1100" s="3" t="s">
        <v>2333</v>
      </c>
      <c r="G1100" s="3">
        <v>223.82</v>
      </c>
    </row>
    <row r="1101" spans="1:7" x14ac:dyDescent="0.25">
      <c r="A1101" s="1" t="s">
        <v>3169</v>
      </c>
      <c r="B1101" s="2">
        <v>77</v>
      </c>
      <c r="C1101" s="3" t="str">
        <f>"011610408"</f>
        <v>011610408</v>
      </c>
      <c r="D1101" s="3" t="s">
        <v>706</v>
      </c>
      <c r="E1101" s="3" t="s">
        <v>2334</v>
      </c>
      <c r="F1101" s="3" t="s">
        <v>2335</v>
      </c>
      <c r="G1101" s="3">
        <v>223.82</v>
      </c>
    </row>
    <row r="1102" spans="1:7" x14ac:dyDescent="0.25">
      <c r="A1102" s="1" t="s">
        <v>3169</v>
      </c>
      <c r="B1102" s="2">
        <v>77</v>
      </c>
      <c r="C1102" s="3" t="str">
        <f>"011610409"</f>
        <v>011610409</v>
      </c>
      <c r="D1102" s="3" t="s">
        <v>706</v>
      </c>
      <c r="E1102" s="3" t="s">
        <v>2336</v>
      </c>
      <c r="F1102" s="3" t="s">
        <v>2337</v>
      </c>
      <c r="G1102" s="3">
        <v>223.82</v>
      </c>
    </row>
    <row r="1103" spans="1:7" x14ac:dyDescent="0.25">
      <c r="A1103" s="1" t="s">
        <v>3169</v>
      </c>
      <c r="B1103" s="2">
        <v>77</v>
      </c>
      <c r="C1103" s="3" t="str">
        <f>"011610410"</f>
        <v>011610410</v>
      </c>
      <c r="D1103" s="3" t="s">
        <v>706</v>
      </c>
      <c r="E1103" s="3" t="s">
        <v>2338</v>
      </c>
      <c r="F1103" s="3" t="s">
        <v>2339</v>
      </c>
      <c r="G1103" s="3">
        <v>223.82</v>
      </c>
    </row>
    <row r="1104" spans="1:7" x14ac:dyDescent="0.25">
      <c r="A1104" s="1" t="s">
        <v>3169</v>
      </c>
      <c r="B1104" s="2">
        <v>77</v>
      </c>
      <c r="C1104" s="3" t="str">
        <f>"011610411"</f>
        <v>011610411</v>
      </c>
      <c r="D1104" s="3" t="s">
        <v>706</v>
      </c>
      <c r="E1104" s="3" t="s">
        <v>2340</v>
      </c>
      <c r="F1104" s="3" t="s">
        <v>2341</v>
      </c>
      <c r="G1104" s="3">
        <v>223.82</v>
      </c>
    </row>
    <row r="1105" spans="1:7" x14ac:dyDescent="0.25">
      <c r="A1105" s="1" t="s">
        <v>3169</v>
      </c>
      <c r="B1105" s="2">
        <v>77</v>
      </c>
      <c r="C1105" s="3" t="str">
        <f>"011610412"</f>
        <v>011610412</v>
      </c>
      <c r="D1105" s="3" t="s">
        <v>706</v>
      </c>
      <c r="E1105" s="3"/>
      <c r="F1105" s="3" t="s">
        <v>2342</v>
      </c>
      <c r="G1105" s="3">
        <v>223.82</v>
      </c>
    </row>
    <row r="1106" spans="1:7" x14ac:dyDescent="0.25">
      <c r="A1106" s="1" t="s">
        <v>3169</v>
      </c>
      <c r="B1106" s="2">
        <v>77</v>
      </c>
      <c r="C1106" s="3" t="str">
        <f>"011610413"</f>
        <v>011610413</v>
      </c>
      <c r="D1106" s="3" t="s">
        <v>706</v>
      </c>
      <c r="E1106" s="3"/>
      <c r="F1106" s="3" t="s">
        <v>2343</v>
      </c>
      <c r="G1106" s="3">
        <v>2.1800000000000002</v>
      </c>
    </row>
    <row r="1107" spans="1:7" x14ac:dyDescent="0.25">
      <c r="A1107" s="1" t="s">
        <v>3169</v>
      </c>
      <c r="B1107" s="2">
        <v>77</v>
      </c>
      <c r="C1107" s="3" t="str">
        <f>"011610414"</f>
        <v>011610414</v>
      </c>
      <c r="D1107" s="3" t="s">
        <v>706</v>
      </c>
      <c r="E1107" s="3"/>
      <c r="F1107" s="3" t="s">
        <v>2344</v>
      </c>
      <c r="G1107" s="3">
        <v>44.22</v>
      </c>
    </row>
    <row r="1108" spans="1:7" x14ac:dyDescent="0.25">
      <c r="A1108" s="1" t="s">
        <v>3169</v>
      </c>
      <c r="B1108" s="2">
        <v>77</v>
      </c>
      <c r="C1108" s="3" t="str">
        <f>"011610415"</f>
        <v>011610415</v>
      </c>
      <c r="D1108" s="3" t="s">
        <v>706</v>
      </c>
      <c r="E1108" s="3"/>
      <c r="F1108" s="3" t="s">
        <v>2345</v>
      </c>
      <c r="G1108" s="3">
        <v>12.58</v>
      </c>
    </row>
    <row r="1109" spans="1:7" x14ac:dyDescent="0.25">
      <c r="A1109" s="1" t="s">
        <v>3169</v>
      </c>
      <c r="B1109" s="2">
        <v>77</v>
      </c>
      <c r="C1109" s="3" t="str">
        <f>"011610416"</f>
        <v>011610416</v>
      </c>
      <c r="D1109" s="3" t="s">
        <v>706</v>
      </c>
      <c r="E1109" s="3"/>
      <c r="F1109" s="3" t="s">
        <v>2346</v>
      </c>
      <c r="G1109" s="3">
        <v>6.82</v>
      </c>
    </row>
    <row r="1110" spans="1:7" x14ac:dyDescent="0.25">
      <c r="A1110" s="1" t="s">
        <v>3169</v>
      </c>
      <c r="B1110" s="2">
        <v>77</v>
      </c>
      <c r="C1110" s="3" t="str">
        <f>"011610547"</f>
        <v>011610547</v>
      </c>
      <c r="D1110" s="3" t="s">
        <v>1445</v>
      </c>
      <c r="E1110" s="3" t="s">
        <v>2347</v>
      </c>
      <c r="F1110" s="3" t="s">
        <v>2348</v>
      </c>
      <c r="G1110" s="3">
        <v>1104.6400000000001</v>
      </c>
    </row>
    <row r="1111" spans="1:7" x14ac:dyDescent="0.25">
      <c r="A1111" s="1" t="s">
        <v>3169</v>
      </c>
      <c r="B1111" s="2">
        <v>77</v>
      </c>
      <c r="C1111" s="3" t="str">
        <f>"011610566"</f>
        <v>011610566</v>
      </c>
      <c r="D1111" s="3" t="s">
        <v>2349</v>
      </c>
      <c r="E1111" s="3" t="s">
        <v>2350</v>
      </c>
      <c r="F1111" s="3" t="s">
        <v>2351</v>
      </c>
      <c r="G1111" s="3">
        <v>1104.6400000000001</v>
      </c>
    </row>
    <row r="1112" spans="1:7" x14ac:dyDescent="0.25">
      <c r="A1112" s="1" t="s">
        <v>3169</v>
      </c>
      <c r="B1112" s="2">
        <v>77</v>
      </c>
      <c r="C1112" s="3" t="str">
        <f>"011610629"</f>
        <v>011610629</v>
      </c>
      <c r="D1112" s="3" t="s">
        <v>2349</v>
      </c>
      <c r="E1112" s="3" t="s">
        <v>2352</v>
      </c>
      <c r="F1112" s="3" t="s">
        <v>2353</v>
      </c>
      <c r="G1112" s="3">
        <v>1104.6400000000001</v>
      </c>
    </row>
    <row r="1113" spans="1:7" x14ac:dyDescent="0.25">
      <c r="A1113" s="1" t="s">
        <v>3169</v>
      </c>
      <c r="B1113" s="2">
        <v>77</v>
      </c>
      <c r="C1113" s="3" t="str">
        <f>"011610653"</f>
        <v>011610653</v>
      </c>
      <c r="D1113" s="3" t="s">
        <v>1445</v>
      </c>
      <c r="E1113" s="3" t="s">
        <v>2354</v>
      </c>
      <c r="F1113" s="3" t="s">
        <v>2355</v>
      </c>
      <c r="G1113" s="3">
        <v>552.32000000000005</v>
      </c>
    </row>
    <row r="1114" spans="1:7" x14ac:dyDescent="0.25">
      <c r="A1114" s="1" t="s">
        <v>3169</v>
      </c>
      <c r="B1114" s="2">
        <v>77</v>
      </c>
      <c r="C1114" s="3" t="str">
        <f>"011610656"</f>
        <v>011610656</v>
      </c>
      <c r="D1114" s="3" t="s">
        <v>1445</v>
      </c>
      <c r="E1114" s="3" t="s">
        <v>2356</v>
      </c>
      <c r="F1114" s="3" t="s">
        <v>2357</v>
      </c>
      <c r="G1114" s="3">
        <v>552.32000000000005</v>
      </c>
    </row>
    <row r="1115" spans="1:7" x14ac:dyDescent="0.25">
      <c r="A1115" s="1" t="s">
        <v>3169</v>
      </c>
      <c r="B1115" s="2">
        <v>77</v>
      </c>
      <c r="C1115" s="3" t="str">
        <f>"011610793"</f>
        <v>011610793</v>
      </c>
      <c r="D1115" s="3" t="s">
        <v>2358</v>
      </c>
      <c r="E1115" s="3"/>
      <c r="F1115" s="3" t="s">
        <v>2359</v>
      </c>
      <c r="G1115" s="3">
        <v>273.5</v>
      </c>
    </row>
    <row r="1116" spans="1:7" x14ac:dyDescent="0.25">
      <c r="A1116" s="1" t="s">
        <v>3169</v>
      </c>
      <c r="B1116" s="2">
        <v>77</v>
      </c>
      <c r="C1116" s="3" t="str">
        <f>"011610896"</f>
        <v>011610896</v>
      </c>
      <c r="D1116" s="3" t="s">
        <v>2360</v>
      </c>
      <c r="E1116" s="3" t="s">
        <v>2361</v>
      </c>
      <c r="F1116" s="3" t="s">
        <v>2362</v>
      </c>
      <c r="G1116" s="3">
        <v>63.94</v>
      </c>
    </row>
    <row r="1117" spans="1:7" x14ac:dyDescent="0.25">
      <c r="A1117" s="1" t="s">
        <v>3169</v>
      </c>
      <c r="B1117" s="2">
        <v>77</v>
      </c>
      <c r="C1117" s="3" t="str">
        <f>"011611364"</f>
        <v>011611364</v>
      </c>
      <c r="D1117" s="3" t="s">
        <v>2363</v>
      </c>
      <c r="E1117" s="3"/>
      <c r="F1117" s="3" t="s">
        <v>2364</v>
      </c>
      <c r="G1117" s="3">
        <v>3279.34</v>
      </c>
    </row>
    <row r="1118" spans="1:7" x14ac:dyDescent="0.25">
      <c r="A1118" s="1" t="s">
        <v>3169</v>
      </c>
      <c r="B1118" s="2">
        <v>77</v>
      </c>
      <c r="C1118" s="3" t="str">
        <f>"011611416"</f>
        <v>011611416</v>
      </c>
      <c r="D1118" s="3" t="s">
        <v>1853</v>
      </c>
      <c r="E1118" s="3"/>
      <c r="F1118" s="3" t="s">
        <v>2365</v>
      </c>
      <c r="G1118" s="3">
        <v>6.62</v>
      </c>
    </row>
    <row r="1119" spans="1:7" x14ac:dyDescent="0.25">
      <c r="A1119" s="1" t="s">
        <v>3169</v>
      </c>
      <c r="B1119" s="2">
        <v>77</v>
      </c>
      <c r="C1119" s="3" t="str">
        <f>"011611448"</f>
        <v>011611448</v>
      </c>
      <c r="D1119" s="3" t="s">
        <v>2366</v>
      </c>
      <c r="E1119" s="3"/>
      <c r="F1119" s="3" t="s">
        <v>2367</v>
      </c>
      <c r="G1119" s="3">
        <v>0</v>
      </c>
    </row>
    <row r="1120" spans="1:7" x14ac:dyDescent="0.25">
      <c r="A1120" s="1" t="s">
        <v>3169</v>
      </c>
      <c r="B1120" s="2">
        <v>77</v>
      </c>
      <c r="C1120" s="3" t="str">
        <f>"011612121"</f>
        <v>011612121</v>
      </c>
      <c r="D1120" s="3" t="s">
        <v>588</v>
      </c>
      <c r="E1120" s="3" t="s">
        <v>2368</v>
      </c>
      <c r="F1120" s="3" t="s">
        <v>2369</v>
      </c>
      <c r="G1120" s="3">
        <v>1055.78</v>
      </c>
    </row>
    <row r="1121" spans="1:7" x14ac:dyDescent="0.25">
      <c r="A1121" s="1" t="s">
        <v>3169</v>
      </c>
      <c r="B1121" s="2">
        <v>77</v>
      </c>
      <c r="C1121" s="3" t="str">
        <f>"011612122"</f>
        <v>011612122</v>
      </c>
      <c r="D1121" s="3" t="s">
        <v>588</v>
      </c>
      <c r="E1121" s="3" t="s">
        <v>2370</v>
      </c>
      <c r="F1121" s="3" t="s">
        <v>2371</v>
      </c>
      <c r="G1121" s="3">
        <v>1055.78</v>
      </c>
    </row>
    <row r="1122" spans="1:7" x14ac:dyDescent="0.25">
      <c r="A1122" s="1" t="s">
        <v>3169</v>
      </c>
      <c r="B1122" s="2">
        <v>77</v>
      </c>
      <c r="C1122" s="3" t="str">
        <f>"011612123"</f>
        <v>011612123</v>
      </c>
      <c r="D1122" s="3" t="s">
        <v>588</v>
      </c>
      <c r="E1122" s="3" t="s">
        <v>2372</v>
      </c>
      <c r="F1122" s="3" t="s">
        <v>2373</v>
      </c>
      <c r="G1122" s="3">
        <v>1098.02</v>
      </c>
    </row>
    <row r="1123" spans="1:7" x14ac:dyDescent="0.25">
      <c r="A1123" s="1" t="s">
        <v>3169</v>
      </c>
      <c r="B1123" s="2">
        <v>77</v>
      </c>
      <c r="C1123" s="3" t="str">
        <f>"011612124"</f>
        <v>011612124</v>
      </c>
      <c r="D1123" s="3" t="s">
        <v>2374</v>
      </c>
      <c r="E1123" s="3" t="s">
        <v>2375</v>
      </c>
      <c r="F1123" s="3" t="s">
        <v>2376</v>
      </c>
      <c r="G1123" s="3">
        <v>1098.02</v>
      </c>
    </row>
    <row r="1124" spans="1:7" x14ac:dyDescent="0.25">
      <c r="A1124" s="1" t="s">
        <v>3169</v>
      </c>
      <c r="B1124" s="2">
        <v>77</v>
      </c>
      <c r="C1124" s="3" t="str">
        <f>"011612125"</f>
        <v>011612125</v>
      </c>
      <c r="D1124" s="3" t="s">
        <v>2374</v>
      </c>
      <c r="E1124" s="3" t="s">
        <v>2377</v>
      </c>
      <c r="F1124" s="3" t="s">
        <v>2378</v>
      </c>
      <c r="G1124" s="3">
        <v>1098.02</v>
      </c>
    </row>
    <row r="1125" spans="1:7" x14ac:dyDescent="0.25">
      <c r="A1125" s="1" t="s">
        <v>3169</v>
      </c>
      <c r="B1125" s="2">
        <v>77</v>
      </c>
      <c r="C1125" s="3" t="str">
        <f>"011612126"</f>
        <v>011612126</v>
      </c>
      <c r="D1125" s="3" t="s">
        <v>588</v>
      </c>
      <c r="E1125" s="3" t="s">
        <v>2379</v>
      </c>
      <c r="F1125" s="3" t="s">
        <v>2380</v>
      </c>
      <c r="G1125" s="3">
        <v>2225.6</v>
      </c>
    </row>
    <row r="1126" spans="1:7" x14ac:dyDescent="0.25">
      <c r="A1126" s="1" t="s">
        <v>3169</v>
      </c>
      <c r="B1126" s="2">
        <v>77</v>
      </c>
      <c r="C1126" s="3" t="str">
        <f>"011612130"</f>
        <v>011612130</v>
      </c>
      <c r="D1126" s="3" t="s">
        <v>588</v>
      </c>
      <c r="E1126" s="3"/>
      <c r="F1126" s="3" t="s">
        <v>2381</v>
      </c>
      <c r="G1126" s="3">
        <v>18.98</v>
      </c>
    </row>
    <row r="1127" spans="1:7" x14ac:dyDescent="0.25">
      <c r="A1127" s="1" t="s">
        <v>3169</v>
      </c>
      <c r="B1127" s="2">
        <v>77</v>
      </c>
      <c r="C1127" s="3" t="str">
        <f>"011612214"</f>
        <v>011612214</v>
      </c>
      <c r="D1127" s="3" t="s">
        <v>1506</v>
      </c>
      <c r="E1127" s="3" t="s">
        <v>2382</v>
      </c>
      <c r="F1127" s="3" t="s">
        <v>2383</v>
      </c>
      <c r="G1127" s="3">
        <v>286.42</v>
      </c>
    </row>
    <row r="1128" spans="1:7" x14ac:dyDescent="0.25">
      <c r="A1128" s="1" t="s">
        <v>3169</v>
      </c>
      <c r="B1128" s="2">
        <v>77</v>
      </c>
      <c r="C1128" s="3" t="str">
        <f>"011612215"</f>
        <v>011612215</v>
      </c>
      <c r="D1128" s="3" t="s">
        <v>1506</v>
      </c>
      <c r="E1128" s="3" t="s">
        <v>2384</v>
      </c>
      <c r="F1128" s="3" t="s">
        <v>2385</v>
      </c>
      <c r="G1128" s="3">
        <v>286.42</v>
      </c>
    </row>
    <row r="1129" spans="1:7" x14ac:dyDescent="0.25">
      <c r="A1129" s="1" t="s">
        <v>3169</v>
      </c>
      <c r="B1129" s="2">
        <v>77</v>
      </c>
      <c r="C1129" s="3" t="str">
        <f>"011612216"</f>
        <v>011612216</v>
      </c>
      <c r="D1129" s="3" t="s">
        <v>1506</v>
      </c>
      <c r="E1129" s="3" t="s">
        <v>2386</v>
      </c>
      <c r="F1129" s="3" t="s">
        <v>2387</v>
      </c>
      <c r="G1129" s="3">
        <v>286.42</v>
      </c>
    </row>
    <row r="1130" spans="1:7" x14ac:dyDescent="0.25">
      <c r="A1130" s="1" t="s">
        <v>3169</v>
      </c>
      <c r="B1130" s="2">
        <v>77</v>
      </c>
      <c r="C1130" s="3" t="str">
        <f>"011612217"</f>
        <v>011612217</v>
      </c>
      <c r="D1130" s="3" t="s">
        <v>1506</v>
      </c>
      <c r="E1130" s="3" t="s">
        <v>2388</v>
      </c>
      <c r="F1130" s="3" t="s">
        <v>2389</v>
      </c>
      <c r="G1130" s="3">
        <v>286.42</v>
      </c>
    </row>
    <row r="1131" spans="1:7" x14ac:dyDescent="0.25">
      <c r="A1131" s="1" t="s">
        <v>3169</v>
      </c>
      <c r="B1131" s="2">
        <v>77</v>
      </c>
      <c r="C1131" s="3" t="str">
        <f>"011612218"</f>
        <v>011612218</v>
      </c>
      <c r="D1131" s="3" t="s">
        <v>1506</v>
      </c>
      <c r="E1131" s="3" t="s">
        <v>2390</v>
      </c>
      <c r="F1131" s="3" t="s">
        <v>2391</v>
      </c>
      <c r="G1131" s="3">
        <v>286.42</v>
      </c>
    </row>
    <row r="1132" spans="1:7" x14ac:dyDescent="0.25">
      <c r="A1132" s="1" t="s">
        <v>3169</v>
      </c>
      <c r="B1132" s="2">
        <v>77</v>
      </c>
      <c r="C1132" s="3" t="str">
        <f>"011612219"</f>
        <v>011612219</v>
      </c>
      <c r="D1132" s="3" t="s">
        <v>1506</v>
      </c>
      <c r="E1132" s="3" t="s">
        <v>2392</v>
      </c>
      <c r="F1132" s="3" t="s">
        <v>2393</v>
      </c>
      <c r="G1132" s="3">
        <v>286.42</v>
      </c>
    </row>
    <row r="1133" spans="1:7" x14ac:dyDescent="0.25">
      <c r="A1133" s="1" t="s">
        <v>3169</v>
      </c>
      <c r="B1133" s="2">
        <v>77</v>
      </c>
      <c r="C1133" s="3" t="str">
        <f>"011612220"</f>
        <v>011612220</v>
      </c>
      <c r="D1133" s="3" t="s">
        <v>1506</v>
      </c>
      <c r="E1133" s="3" t="s">
        <v>2394</v>
      </c>
      <c r="F1133" s="3" t="s">
        <v>2395</v>
      </c>
      <c r="G1133" s="3">
        <v>286.42</v>
      </c>
    </row>
    <row r="1134" spans="1:7" x14ac:dyDescent="0.25">
      <c r="A1134" s="1" t="s">
        <v>3169</v>
      </c>
      <c r="B1134" s="2">
        <v>77</v>
      </c>
      <c r="C1134" s="3" t="str">
        <f>"011612221"</f>
        <v>011612221</v>
      </c>
      <c r="D1134" s="3" t="s">
        <v>1506</v>
      </c>
      <c r="E1134" s="3" t="s">
        <v>2396</v>
      </c>
      <c r="F1134" s="3" t="s">
        <v>2397</v>
      </c>
      <c r="G1134" s="3">
        <v>286.42</v>
      </c>
    </row>
    <row r="1135" spans="1:7" x14ac:dyDescent="0.25">
      <c r="A1135" s="1" t="s">
        <v>3169</v>
      </c>
      <c r="B1135" s="2">
        <v>77</v>
      </c>
      <c r="C1135" s="3" t="str">
        <f>"011612222"</f>
        <v>011612222</v>
      </c>
      <c r="D1135" s="3" t="s">
        <v>1506</v>
      </c>
      <c r="E1135" s="3" t="s">
        <v>2398</v>
      </c>
      <c r="F1135" s="3" t="s">
        <v>2399</v>
      </c>
      <c r="G1135" s="3">
        <v>286.42</v>
      </c>
    </row>
    <row r="1136" spans="1:7" x14ac:dyDescent="0.25">
      <c r="A1136" s="1" t="s">
        <v>3169</v>
      </c>
      <c r="B1136" s="2">
        <v>77</v>
      </c>
      <c r="C1136" s="3" t="str">
        <f>"011612223"</f>
        <v>011612223</v>
      </c>
      <c r="D1136" s="3" t="s">
        <v>1506</v>
      </c>
      <c r="E1136" s="3" t="s">
        <v>2400</v>
      </c>
      <c r="F1136" s="3" t="s">
        <v>2401</v>
      </c>
      <c r="G1136" s="3">
        <v>286.42</v>
      </c>
    </row>
    <row r="1137" spans="1:7" x14ac:dyDescent="0.25">
      <c r="A1137" s="1" t="s">
        <v>3169</v>
      </c>
      <c r="B1137" s="2">
        <v>77</v>
      </c>
      <c r="C1137" s="3" t="str">
        <f>"011612224"</f>
        <v>011612224</v>
      </c>
      <c r="D1137" s="3" t="s">
        <v>1506</v>
      </c>
      <c r="E1137" s="3" t="s">
        <v>2402</v>
      </c>
      <c r="F1137" s="3" t="s">
        <v>2403</v>
      </c>
      <c r="G1137" s="3">
        <v>286.42</v>
      </c>
    </row>
    <row r="1138" spans="1:7" x14ac:dyDescent="0.25">
      <c r="A1138" s="1" t="s">
        <v>3169</v>
      </c>
      <c r="B1138" s="2">
        <v>77</v>
      </c>
      <c r="C1138" s="3" t="str">
        <f>"011612225"</f>
        <v>011612225</v>
      </c>
      <c r="D1138" s="3" t="s">
        <v>1506</v>
      </c>
      <c r="E1138" s="3" t="s">
        <v>2404</v>
      </c>
      <c r="F1138" s="3" t="s">
        <v>2405</v>
      </c>
      <c r="G1138" s="3">
        <v>286.42</v>
      </c>
    </row>
    <row r="1139" spans="1:7" x14ac:dyDescent="0.25">
      <c r="A1139" s="1" t="s">
        <v>3169</v>
      </c>
      <c r="B1139" s="2">
        <v>77</v>
      </c>
      <c r="C1139" s="3" t="str">
        <f>"011612226"</f>
        <v>011612226</v>
      </c>
      <c r="D1139" s="3" t="s">
        <v>1506</v>
      </c>
      <c r="E1139" s="3" t="s">
        <v>2406</v>
      </c>
      <c r="F1139" s="3" t="s">
        <v>2407</v>
      </c>
      <c r="G1139" s="3">
        <v>286.42</v>
      </c>
    </row>
    <row r="1140" spans="1:7" x14ac:dyDescent="0.25">
      <c r="A1140" s="1" t="s">
        <v>3169</v>
      </c>
      <c r="B1140" s="2">
        <v>77</v>
      </c>
      <c r="C1140" s="3" t="str">
        <f>"011612227"</f>
        <v>011612227</v>
      </c>
      <c r="D1140" s="3" t="s">
        <v>1506</v>
      </c>
      <c r="E1140" s="3" t="s">
        <v>2408</v>
      </c>
      <c r="F1140" s="3" t="s">
        <v>2409</v>
      </c>
      <c r="G1140" s="3">
        <v>286.42</v>
      </c>
    </row>
    <row r="1141" spans="1:7" x14ac:dyDescent="0.25">
      <c r="A1141" s="1" t="s">
        <v>3169</v>
      </c>
      <c r="B1141" s="2">
        <v>77</v>
      </c>
      <c r="C1141" s="3" t="str">
        <f>"011612228"</f>
        <v>011612228</v>
      </c>
      <c r="D1141" s="3" t="s">
        <v>1506</v>
      </c>
      <c r="E1141" s="3" t="s">
        <v>2410</v>
      </c>
      <c r="F1141" s="3" t="s">
        <v>2411</v>
      </c>
      <c r="G1141" s="3">
        <v>286.42</v>
      </c>
    </row>
    <row r="1142" spans="1:7" x14ac:dyDescent="0.25">
      <c r="A1142" s="1" t="s">
        <v>3169</v>
      </c>
      <c r="B1142" s="2">
        <v>77</v>
      </c>
      <c r="C1142" s="3" t="str">
        <f>"011612229"</f>
        <v>011612229</v>
      </c>
      <c r="D1142" s="3" t="s">
        <v>1506</v>
      </c>
      <c r="E1142" s="3" t="s">
        <v>2412</v>
      </c>
      <c r="F1142" s="3" t="s">
        <v>2413</v>
      </c>
      <c r="G1142" s="3">
        <v>286.42</v>
      </c>
    </row>
    <row r="1143" spans="1:7" x14ac:dyDescent="0.25">
      <c r="A1143" s="1" t="s">
        <v>3169</v>
      </c>
      <c r="B1143" s="2">
        <v>77</v>
      </c>
      <c r="C1143" s="3" t="str">
        <f>"011612230"</f>
        <v>011612230</v>
      </c>
      <c r="D1143" s="3" t="s">
        <v>1506</v>
      </c>
      <c r="E1143" s="3" t="s">
        <v>2414</v>
      </c>
      <c r="F1143" s="3" t="s">
        <v>2415</v>
      </c>
      <c r="G1143" s="3">
        <v>286.42</v>
      </c>
    </row>
    <row r="1144" spans="1:7" x14ac:dyDescent="0.25">
      <c r="A1144" s="1" t="s">
        <v>3169</v>
      </c>
      <c r="B1144" s="2">
        <v>77</v>
      </c>
      <c r="C1144" s="3" t="str">
        <f>"011612231"</f>
        <v>011612231</v>
      </c>
      <c r="D1144" s="3" t="s">
        <v>1506</v>
      </c>
      <c r="E1144" s="3" t="s">
        <v>2416</v>
      </c>
      <c r="F1144" s="3" t="s">
        <v>2417</v>
      </c>
      <c r="G1144" s="3">
        <v>286.42</v>
      </c>
    </row>
    <row r="1145" spans="1:7" x14ac:dyDescent="0.25">
      <c r="A1145" s="1" t="s">
        <v>3169</v>
      </c>
      <c r="B1145" s="2">
        <v>77</v>
      </c>
      <c r="C1145" s="3" t="str">
        <f>"011612232"</f>
        <v>011612232</v>
      </c>
      <c r="D1145" s="3" t="s">
        <v>1506</v>
      </c>
      <c r="E1145" s="3" t="s">
        <v>2418</v>
      </c>
      <c r="F1145" s="3" t="s">
        <v>2419</v>
      </c>
      <c r="G1145" s="3">
        <v>286.42</v>
      </c>
    </row>
    <row r="1146" spans="1:7" x14ac:dyDescent="0.25">
      <c r="A1146" s="1" t="s">
        <v>3169</v>
      </c>
      <c r="B1146" s="2">
        <v>77</v>
      </c>
      <c r="C1146" s="3" t="str">
        <f>"011612233"</f>
        <v>011612233</v>
      </c>
      <c r="D1146" s="3" t="s">
        <v>1506</v>
      </c>
      <c r="E1146" s="3" t="s">
        <v>2420</v>
      </c>
      <c r="F1146" s="3" t="s">
        <v>2421</v>
      </c>
      <c r="G1146" s="3">
        <v>286.42</v>
      </c>
    </row>
    <row r="1147" spans="1:7" x14ac:dyDescent="0.25">
      <c r="A1147" s="1" t="s">
        <v>3169</v>
      </c>
      <c r="B1147" s="2">
        <v>77</v>
      </c>
      <c r="C1147" s="3" t="str">
        <f>"011612234"</f>
        <v>011612234</v>
      </c>
      <c r="D1147" s="3" t="s">
        <v>1506</v>
      </c>
      <c r="E1147" s="3" t="s">
        <v>2422</v>
      </c>
      <c r="F1147" s="3" t="s">
        <v>2423</v>
      </c>
      <c r="G1147" s="3">
        <v>286.42</v>
      </c>
    </row>
    <row r="1148" spans="1:7" x14ac:dyDescent="0.25">
      <c r="A1148" s="1" t="s">
        <v>3169</v>
      </c>
      <c r="B1148" s="2">
        <v>77</v>
      </c>
      <c r="C1148" s="3" t="str">
        <f>"011612235"</f>
        <v>011612235</v>
      </c>
      <c r="D1148" s="3" t="s">
        <v>1506</v>
      </c>
      <c r="E1148" s="3" t="s">
        <v>2424</v>
      </c>
      <c r="F1148" s="3" t="s">
        <v>2425</v>
      </c>
      <c r="G1148" s="3">
        <v>286.42</v>
      </c>
    </row>
    <row r="1149" spans="1:7" x14ac:dyDescent="0.25">
      <c r="A1149" s="1" t="s">
        <v>3169</v>
      </c>
      <c r="B1149" s="2">
        <v>77</v>
      </c>
      <c r="C1149" s="3" t="str">
        <f>"011612236"</f>
        <v>011612236</v>
      </c>
      <c r="D1149" s="3" t="s">
        <v>1506</v>
      </c>
      <c r="E1149" s="3" t="s">
        <v>2426</v>
      </c>
      <c r="F1149" s="3" t="s">
        <v>2427</v>
      </c>
      <c r="G1149" s="3">
        <v>286.42</v>
      </c>
    </row>
    <row r="1150" spans="1:7" x14ac:dyDescent="0.25">
      <c r="A1150" s="1" t="s">
        <v>3169</v>
      </c>
      <c r="B1150" s="2">
        <v>77</v>
      </c>
      <c r="C1150" s="3" t="str">
        <f>"011612237"</f>
        <v>011612237</v>
      </c>
      <c r="D1150" s="3" t="s">
        <v>1506</v>
      </c>
      <c r="E1150" s="3" t="s">
        <v>2428</v>
      </c>
      <c r="F1150" s="3" t="s">
        <v>2429</v>
      </c>
      <c r="G1150" s="3">
        <v>286.42</v>
      </c>
    </row>
    <row r="1151" spans="1:7" x14ac:dyDescent="0.25">
      <c r="A1151" s="1" t="s">
        <v>3169</v>
      </c>
      <c r="B1151" s="2">
        <v>77</v>
      </c>
      <c r="C1151" s="3" t="str">
        <f>"011612238"</f>
        <v>011612238</v>
      </c>
      <c r="D1151" s="3" t="s">
        <v>1506</v>
      </c>
      <c r="E1151" s="3" t="s">
        <v>2430</v>
      </c>
      <c r="F1151" s="3" t="s">
        <v>2431</v>
      </c>
      <c r="G1151" s="3">
        <v>286.42</v>
      </c>
    </row>
    <row r="1152" spans="1:7" x14ac:dyDescent="0.25">
      <c r="A1152" s="1" t="s">
        <v>3169</v>
      </c>
      <c r="B1152" s="2">
        <v>77</v>
      </c>
      <c r="C1152" s="3" t="str">
        <f>"011612239"</f>
        <v>011612239</v>
      </c>
      <c r="D1152" s="3" t="s">
        <v>1506</v>
      </c>
      <c r="E1152" s="3" t="s">
        <v>2432</v>
      </c>
      <c r="F1152" s="3" t="s">
        <v>2433</v>
      </c>
      <c r="G1152" s="3">
        <v>286.42</v>
      </c>
    </row>
    <row r="1153" spans="1:7" x14ac:dyDescent="0.25">
      <c r="A1153" s="1" t="s">
        <v>3169</v>
      </c>
      <c r="B1153" s="2">
        <v>77</v>
      </c>
      <c r="C1153" s="3" t="str">
        <f>"011612244"</f>
        <v>011612244</v>
      </c>
      <c r="D1153" s="3" t="s">
        <v>1506</v>
      </c>
      <c r="E1153" s="3"/>
      <c r="F1153" s="3" t="s">
        <v>2434</v>
      </c>
      <c r="G1153" s="3">
        <v>286.42</v>
      </c>
    </row>
    <row r="1154" spans="1:7" x14ac:dyDescent="0.25">
      <c r="A1154" s="1" t="s">
        <v>3169</v>
      </c>
      <c r="B1154" s="2">
        <v>77</v>
      </c>
      <c r="C1154" s="3" t="str">
        <f>"011612245"</f>
        <v>011612245</v>
      </c>
      <c r="D1154" s="3" t="s">
        <v>1506</v>
      </c>
      <c r="E1154" s="3" t="s">
        <v>2435</v>
      </c>
      <c r="F1154" s="3" t="s">
        <v>2436</v>
      </c>
      <c r="G1154" s="3">
        <v>286.42</v>
      </c>
    </row>
    <row r="1155" spans="1:7" x14ac:dyDescent="0.25">
      <c r="A1155" s="1" t="s">
        <v>3169</v>
      </c>
      <c r="B1155" s="2">
        <v>77</v>
      </c>
      <c r="C1155" s="3" t="str">
        <f>"011612246"</f>
        <v>011612246</v>
      </c>
      <c r="D1155" s="3" t="s">
        <v>1506</v>
      </c>
      <c r="E1155" s="3" t="s">
        <v>2437</v>
      </c>
      <c r="F1155" s="3" t="s">
        <v>2438</v>
      </c>
      <c r="G1155" s="3">
        <v>286.42</v>
      </c>
    </row>
    <row r="1156" spans="1:7" x14ac:dyDescent="0.25">
      <c r="A1156" s="1" t="s">
        <v>3169</v>
      </c>
      <c r="B1156" s="2">
        <v>77</v>
      </c>
      <c r="C1156" s="3" t="str">
        <f>"011612250"</f>
        <v>011612250</v>
      </c>
      <c r="D1156" s="3" t="s">
        <v>1506</v>
      </c>
      <c r="E1156" s="3" t="s">
        <v>2439</v>
      </c>
      <c r="F1156" s="3" t="s">
        <v>2440</v>
      </c>
      <c r="G1156" s="3">
        <v>286.42</v>
      </c>
    </row>
    <row r="1157" spans="1:7" x14ac:dyDescent="0.25">
      <c r="A1157" s="1" t="s">
        <v>3169</v>
      </c>
      <c r="B1157" s="2">
        <v>77</v>
      </c>
      <c r="C1157" s="3" t="str">
        <f>"011612251"</f>
        <v>011612251</v>
      </c>
      <c r="D1157" s="3" t="s">
        <v>1506</v>
      </c>
      <c r="E1157" s="3" t="s">
        <v>2441</v>
      </c>
      <c r="F1157" s="3" t="s">
        <v>2442</v>
      </c>
      <c r="G1157" s="3">
        <v>286.42</v>
      </c>
    </row>
    <row r="1158" spans="1:7" x14ac:dyDescent="0.25">
      <c r="A1158" s="1" t="s">
        <v>3169</v>
      </c>
      <c r="B1158" s="2">
        <v>77</v>
      </c>
      <c r="C1158" s="3" t="str">
        <f>"011612252"</f>
        <v>011612252</v>
      </c>
      <c r="D1158" s="3" t="s">
        <v>1506</v>
      </c>
      <c r="E1158" s="3" t="s">
        <v>2443</v>
      </c>
      <c r="F1158" s="3" t="s">
        <v>2444</v>
      </c>
      <c r="G1158" s="3">
        <v>286.42</v>
      </c>
    </row>
    <row r="1159" spans="1:7" x14ac:dyDescent="0.25">
      <c r="A1159" s="1" t="s">
        <v>3169</v>
      </c>
      <c r="B1159" s="2">
        <v>77</v>
      </c>
      <c r="C1159" s="3" t="str">
        <f>"011612253"</f>
        <v>011612253</v>
      </c>
      <c r="D1159" s="3" t="s">
        <v>1506</v>
      </c>
      <c r="E1159" s="3" t="s">
        <v>2445</v>
      </c>
      <c r="F1159" s="3" t="s">
        <v>2446</v>
      </c>
      <c r="G1159" s="3">
        <v>286.42</v>
      </c>
    </row>
    <row r="1160" spans="1:7" x14ac:dyDescent="0.25">
      <c r="A1160" s="1" t="s">
        <v>3169</v>
      </c>
      <c r="B1160" s="2">
        <v>77</v>
      </c>
      <c r="C1160" s="3" t="str">
        <f>"011612254"</f>
        <v>011612254</v>
      </c>
      <c r="D1160" s="3" t="s">
        <v>1506</v>
      </c>
      <c r="E1160" s="3" t="s">
        <v>2447</v>
      </c>
      <c r="F1160" s="3" t="s">
        <v>2448</v>
      </c>
      <c r="G1160" s="3">
        <v>286.42</v>
      </c>
    </row>
    <row r="1161" spans="1:7" x14ac:dyDescent="0.25">
      <c r="A1161" s="1" t="s">
        <v>3169</v>
      </c>
      <c r="B1161" s="2">
        <v>77</v>
      </c>
      <c r="C1161" s="3" t="str">
        <f>"011612255"</f>
        <v>011612255</v>
      </c>
      <c r="D1161" s="3" t="s">
        <v>1506</v>
      </c>
      <c r="E1161" s="3" t="s">
        <v>2449</v>
      </c>
      <c r="F1161" s="3" t="s">
        <v>2450</v>
      </c>
      <c r="G1161" s="3">
        <v>286.42</v>
      </c>
    </row>
    <row r="1162" spans="1:7" x14ac:dyDescent="0.25">
      <c r="A1162" s="1" t="s">
        <v>3169</v>
      </c>
      <c r="B1162" s="2">
        <v>77</v>
      </c>
      <c r="C1162" s="3" t="str">
        <f>"011612256"</f>
        <v>011612256</v>
      </c>
      <c r="D1162" s="3" t="s">
        <v>1506</v>
      </c>
      <c r="E1162" s="3" t="s">
        <v>2451</v>
      </c>
      <c r="F1162" s="3" t="s">
        <v>2452</v>
      </c>
      <c r="G1162" s="3">
        <v>286.42</v>
      </c>
    </row>
    <row r="1163" spans="1:7" x14ac:dyDescent="0.25">
      <c r="A1163" s="1" t="s">
        <v>3169</v>
      </c>
      <c r="B1163" s="2">
        <v>77</v>
      </c>
      <c r="C1163" s="3" t="str">
        <f>"011612257"</f>
        <v>011612257</v>
      </c>
      <c r="D1163" s="3" t="s">
        <v>1506</v>
      </c>
      <c r="E1163" s="3" t="s">
        <v>2453</v>
      </c>
      <c r="F1163" s="3" t="s">
        <v>2454</v>
      </c>
      <c r="G1163" s="3">
        <v>286.42</v>
      </c>
    </row>
    <row r="1164" spans="1:7" x14ac:dyDescent="0.25">
      <c r="A1164" s="1" t="s">
        <v>3169</v>
      </c>
      <c r="B1164" s="2">
        <v>77</v>
      </c>
      <c r="C1164" s="3" t="str">
        <f>"011612258"</f>
        <v>011612258</v>
      </c>
      <c r="D1164" s="3" t="s">
        <v>1506</v>
      </c>
      <c r="E1164" s="3"/>
      <c r="F1164" s="3" t="s">
        <v>2455</v>
      </c>
      <c r="G1164" s="3">
        <v>286.42</v>
      </c>
    </row>
    <row r="1165" spans="1:7" x14ac:dyDescent="0.25">
      <c r="A1165" s="1" t="s">
        <v>3169</v>
      </c>
      <c r="B1165" s="2">
        <v>77</v>
      </c>
      <c r="C1165" s="3" t="str">
        <f>"011612259"</f>
        <v>011612259</v>
      </c>
      <c r="D1165" s="3" t="s">
        <v>1506</v>
      </c>
      <c r="E1165" s="3" t="s">
        <v>2456</v>
      </c>
      <c r="F1165" s="3" t="s">
        <v>2457</v>
      </c>
      <c r="G1165" s="3">
        <v>286.42</v>
      </c>
    </row>
    <row r="1166" spans="1:7" x14ac:dyDescent="0.25">
      <c r="A1166" s="1" t="s">
        <v>3169</v>
      </c>
      <c r="B1166" s="2">
        <v>77</v>
      </c>
      <c r="C1166" s="3" t="str">
        <f>"011612260"</f>
        <v>011612260</v>
      </c>
      <c r="D1166" s="3" t="s">
        <v>1506</v>
      </c>
      <c r="E1166" s="3" t="s">
        <v>2458</v>
      </c>
      <c r="F1166" s="3" t="s">
        <v>2459</v>
      </c>
      <c r="G1166" s="3">
        <v>286.42</v>
      </c>
    </row>
    <row r="1167" spans="1:7" x14ac:dyDescent="0.25">
      <c r="A1167" s="1" t="s">
        <v>3169</v>
      </c>
      <c r="B1167" s="2">
        <v>77</v>
      </c>
      <c r="C1167" s="3" t="str">
        <f>"011612261"</f>
        <v>011612261</v>
      </c>
      <c r="D1167" s="3" t="s">
        <v>1506</v>
      </c>
      <c r="E1167" s="3" t="s">
        <v>2460</v>
      </c>
      <c r="F1167" s="3" t="s">
        <v>2461</v>
      </c>
      <c r="G1167" s="3">
        <v>286.42</v>
      </c>
    </row>
    <row r="1168" spans="1:7" x14ac:dyDescent="0.25">
      <c r="A1168" s="1" t="s">
        <v>3169</v>
      </c>
      <c r="B1168" s="2">
        <v>77</v>
      </c>
      <c r="C1168" s="3" t="str">
        <f>"011612262"</f>
        <v>011612262</v>
      </c>
      <c r="D1168" s="3" t="s">
        <v>1506</v>
      </c>
      <c r="E1168" s="3" t="s">
        <v>2462</v>
      </c>
      <c r="F1168" s="3" t="s">
        <v>2463</v>
      </c>
      <c r="G1168" s="3">
        <v>286.42</v>
      </c>
    </row>
    <row r="1169" spans="1:7" x14ac:dyDescent="0.25">
      <c r="A1169" s="1" t="s">
        <v>3169</v>
      </c>
      <c r="B1169" s="2">
        <v>77</v>
      </c>
      <c r="C1169" s="3" t="str">
        <f>"011612263"</f>
        <v>011612263</v>
      </c>
      <c r="D1169" s="3" t="s">
        <v>1506</v>
      </c>
      <c r="E1169" s="3" t="s">
        <v>2464</v>
      </c>
      <c r="F1169" s="3" t="s">
        <v>2465</v>
      </c>
      <c r="G1169" s="3">
        <v>286.42</v>
      </c>
    </row>
    <row r="1170" spans="1:7" x14ac:dyDescent="0.25">
      <c r="A1170" s="1" t="s">
        <v>3169</v>
      </c>
      <c r="B1170" s="2">
        <v>77</v>
      </c>
      <c r="C1170" s="3" t="str">
        <f>"011612264"</f>
        <v>011612264</v>
      </c>
      <c r="D1170" s="3" t="s">
        <v>1506</v>
      </c>
      <c r="E1170" s="3" t="s">
        <v>2466</v>
      </c>
      <c r="F1170" s="3" t="s">
        <v>2467</v>
      </c>
      <c r="G1170" s="3">
        <v>286.42</v>
      </c>
    </row>
    <row r="1171" spans="1:7" x14ac:dyDescent="0.25">
      <c r="A1171" s="1" t="s">
        <v>3169</v>
      </c>
      <c r="B1171" s="2">
        <v>77</v>
      </c>
      <c r="C1171" s="3" t="str">
        <f>"011612265"</f>
        <v>011612265</v>
      </c>
      <c r="D1171" s="3" t="s">
        <v>1506</v>
      </c>
      <c r="E1171" s="3" t="s">
        <v>2468</v>
      </c>
      <c r="F1171" s="3" t="s">
        <v>2469</v>
      </c>
      <c r="G1171" s="3">
        <v>286.42</v>
      </c>
    </row>
    <row r="1172" spans="1:7" x14ac:dyDescent="0.25">
      <c r="A1172" s="1" t="s">
        <v>3169</v>
      </c>
      <c r="B1172" s="2">
        <v>77</v>
      </c>
      <c r="C1172" s="3" t="str">
        <f>"011612267"</f>
        <v>011612267</v>
      </c>
      <c r="D1172" s="3" t="s">
        <v>1506</v>
      </c>
      <c r="E1172" s="3" t="s">
        <v>2470</v>
      </c>
      <c r="F1172" s="3" t="s">
        <v>2471</v>
      </c>
      <c r="G1172" s="3">
        <v>286.42</v>
      </c>
    </row>
    <row r="1173" spans="1:7" x14ac:dyDescent="0.25">
      <c r="A1173" s="1" t="s">
        <v>3169</v>
      </c>
      <c r="B1173" s="2">
        <v>77</v>
      </c>
      <c r="C1173" s="3" t="str">
        <f>"011612268"</f>
        <v>011612268</v>
      </c>
      <c r="D1173" s="3" t="s">
        <v>1506</v>
      </c>
      <c r="E1173" s="3"/>
      <c r="F1173" s="3" t="s">
        <v>2472</v>
      </c>
      <c r="G1173" s="3">
        <v>286.42</v>
      </c>
    </row>
    <row r="1174" spans="1:7" x14ac:dyDescent="0.25">
      <c r="A1174" s="1" t="s">
        <v>3169</v>
      </c>
      <c r="B1174" s="2">
        <v>77</v>
      </c>
      <c r="C1174" s="3" t="str">
        <f>"011612269"</f>
        <v>011612269</v>
      </c>
      <c r="D1174" s="3" t="s">
        <v>1506</v>
      </c>
      <c r="E1174" s="3" t="s">
        <v>2473</v>
      </c>
      <c r="F1174" s="3" t="s">
        <v>2474</v>
      </c>
      <c r="G1174" s="3">
        <v>286.42</v>
      </c>
    </row>
    <row r="1175" spans="1:7" x14ac:dyDescent="0.25">
      <c r="A1175" s="1" t="s">
        <v>3169</v>
      </c>
      <c r="B1175" s="2">
        <v>77</v>
      </c>
      <c r="C1175" s="3" t="str">
        <f>"011612270"</f>
        <v>011612270</v>
      </c>
      <c r="D1175" s="3" t="s">
        <v>1506</v>
      </c>
      <c r="E1175" s="3" t="s">
        <v>2475</v>
      </c>
      <c r="F1175" s="3" t="s">
        <v>2476</v>
      </c>
      <c r="G1175" s="3">
        <v>286.42</v>
      </c>
    </row>
    <row r="1176" spans="1:7" x14ac:dyDescent="0.25">
      <c r="A1176" s="1" t="s">
        <v>3169</v>
      </c>
      <c r="B1176" s="2">
        <v>77</v>
      </c>
      <c r="C1176" s="3" t="str">
        <f>"011612271"</f>
        <v>011612271</v>
      </c>
      <c r="D1176" s="3" t="s">
        <v>1506</v>
      </c>
      <c r="E1176" s="3"/>
      <c r="F1176" s="3" t="s">
        <v>2477</v>
      </c>
      <c r="G1176" s="3">
        <v>286.42</v>
      </c>
    </row>
    <row r="1177" spans="1:7" x14ac:dyDescent="0.25">
      <c r="A1177" s="1" t="s">
        <v>3169</v>
      </c>
      <c r="B1177" s="2">
        <v>77</v>
      </c>
      <c r="C1177" s="3" t="str">
        <f>"011612272"</f>
        <v>011612272</v>
      </c>
      <c r="D1177" s="3" t="s">
        <v>1506</v>
      </c>
      <c r="E1177" s="3"/>
      <c r="F1177" s="3" t="s">
        <v>2478</v>
      </c>
      <c r="G1177" s="3">
        <v>286.42</v>
      </c>
    </row>
    <row r="1178" spans="1:7" x14ac:dyDescent="0.25">
      <c r="A1178" s="1" t="s">
        <v>3169</v>
      </c>
      <c r="B1178" s="2">
        <v>77</v>
      </c>
      <c r="C1178" s="3" t="str">
        <f>"011612273"</f>
        <v>011612273</v>
      </c>
      <c r="D1178" s="3" t="s">
        <v>1506</v>
      </c>
      <c r="E1178" s="3" t="s">
        <v>2479</v>
      </c>
      <c r="F1178" s="3" t="s">
        <v>2480</v>
      </c>
      <c r="G1178" s="3">
        <v>286.42</v>
      </c>
    </row>
    <row r="1179" spans="1:7" x14ac:dyDescent="0.25">
      <c r="A1179" s="1" t="s">
        <v>3169</v>
      </c>
      <c r="B1179" s="2">
        <v>77</v>
      </c>
      <c r="C1179" s="3" t="str">
        <f>"011612274"</f>
        <v>011612274</v>
      </c>
      <c r="D1179" s="3" t="s">
        <v>1506</v>
      </c>
      <c r="E1179" s="3" t="s">
        <v>2481</v>
      </c>
      <c r="F1179" s="3" t="s">
        <v>2482</v>
      </c>
      <c r="G1179" s="3">
        <v>286.42</v>
      </c>
    </row>
    <row r="1180" spans="1:7" x14ac:dyDescent="0.25">
      <c r="A1180" s="1" t="s">
        <v>3169</v>
      </c>
      <c r="B1180" s="2">
        <v>77</v>
      </c>
      <c r="C1180" s="3" t="str">
        <f>"011612278"</f>
        <v>011612278</v>
      </c>
      <c r="D1180" s="3" t="s">
        <v>1506</v>
      </c>
      <c r="E1180" s="3" t="s">
        <v>2483</v>
      </c>
      <c r="F1180" s="3" t="s">
        <v>2484</v>
      </c>
      <c r="G1180" s="3">
        <v>286.42</v>
      </c>
    </row>
    <row r="1181" spans="1:7" x14ac:dyDescent="0.25">
      <c r="A1181" s="1" t="s">
        <v>3169</v>
      </c>
      <c r="B1181" s="2">
        <v>77</v>
      </c>
      <c r="C1181" s="3" t="str">
        <f>"011612279"</f>
        <v>011612279</v>
      </c>
      <c r="D1181" s="3" t="s">
        <v>1506</v>
      </c>
      <c r="E1181" s="3" t="s">
        <v>2485</v>
      </c>
      <c r="F1181" s="3" t="s">
        <v>2486</v>
      </c>
      <c r="G1181" s="3">
        <v>286.42</v>
      </c>
    </row>
    <row r="1182" spans="1:7" x14ac:dyDescent="0.25">
      <c r="A1182" s="1" t="s">
        <v>3169</v>
      </c>
      <c r="B1182" s="2">
        <v>77</v>
      </c>
      <c r="C1182" s="3" t="str">
        <f>"011612280"</f>
        <v>011612280</v>
      </c>
      <c r="D1182" s="3" t="s">
        <v>1506</v>
      </c>
      <c r="E1182" s="3" t="s">
        <v>2487</v>
      </c>
      <c r="F1182" s="3" t="s">
        <v>2488</v>
      </c>
      <c r="G1182" s="3">
        <v>286.42</v>
      </c>
    </row>
    <row r="1183" spans="1:7" x14ac:dyDescent="0.25">
      <c r="A1183" s="1" t="s">
        <v>3169</v>
      </c>
      <c r="B1183" s="2">
        <v>77</v>
      </c>
      <c r="C1183" s="3" t="str">
        <f>"011612281"</f>
        <v>011612281</v>
      </c>
      <c r="D1183" s="3" t="s">
        <v>1506</v>
      </c>
      <c r="E1183" s="3"/>
      <c r="F1183" s="3" t="s">
        <v>2489</v>
      </c>
      <c r="G1183" s="3">
        <v>286.42</v>
      </c>
    </row>
    <row r="1184" spans="1:7" x14ac:dyDescent="0.25">
      <c r="A1184" s="1" t="s">
        <v>3169</v>
      </c>
      <c r="B1184" s="2">
        <v>77</v>
      </c>
      <c r="C1184" s="3" t="str">
        <f>"011612285"</f>
        <v>011612285</v>
      </c>
      <c r="D1184" s="3" t="s">
        <v>1506</v>
      </c>
      <c r="E1184" s="3" t="s">
        <v>2490</v>
      </c>
      <c r="F1184" s="3" t="s">
        <v>2491</v>
      </c>
      <c r="G1184" s="3">
        <v>286.42</v>
      </c>
    </row>
    <row r="1185" spans="1:7" x14ac:dyDescent="0.25">
      <c r="A1185" s="1" t="s">
        <v>3169</v>
      </c>
      <c r="B1185" s="2">
        <v>77</v>
      </c>
      <c r="C1185" s="3" t="str">
        <f>"011612286"</f>
        <v>011612286</v>
      </c>
      <c r="D1185" s="3" t="s">
        <v>1506</v>
      </c>
      <c r="E1185" s="3" t="s">
        <v>2492</v>
      </c>
      <c r="F1185" s="3" t="s">
        <v>2493</v>
      </c>
      <c r="G1185" s="3">
        <v>286.42</v>
      </c>
    </row>
    <row r="1186" spans="1:7" x14ac:dyDescent="0.25">
      <c r="A1186" s="1" t="s">
        <v>3169</v>
      </c>
      <c r="B1186" s="2">
        <v>77</v>
      </c>
      <c r="C1186" s="3" t="str">
        <f>"011612287"</f>
        <v>011612287</v>
      </c>
      <c r="D1186" s="3" t="s">
        <v>1506</v>
      </c>
      <c r="E1186" s="3" t="s">
        <v>2494</v>
      </c>
      <c r="F1186" s="3" t="s">
        <v>2495</v>
      </c>
      <c r="G1186" s="3">
        <v>286.42</v>
      </c>
    </row>
    <row r="1187" spans="1:7" x14ac:dyDescent="0.25">
      <c r="A1187" s="1" t="s">
        <v>3169</v>
      </c>
      <c r="B1187" s="2">
        <v>77</v>
      </c>
      <c r="C1187" s="3" t="str">
        <f>"011612288"</f>
        <v>011612288</v>
      </c>
      <c r="D1187" s="3" t="s">
        <v>1506</v>
      </c>
      <c r="E1187" s="3" t="s">
        <v>2496</v>
      </c>
      <c r="F1187" s="3" t="s">
        <v>2497</v>
      </c>
      <c r="G1187" s="3">
        <v>286.42</v>
      </c>
    </row>
    <row r="1188" spans="1:7" x14ac:dyDescent="0.25">
      <c r="A1188" s="1" t="s">
        <v>3169</v>
      </c>
      <c r="B1188" s="2">
        <v>77</v>
      </c>
      <c r="C1188" s="3" t="str">
        <f>"011612289"</f>
        <v>011612289</v>
      </c>
      <c r="D1188" s="3" t="s">
        <v>1506</v>
      </c>
      <c r="E1188" s="3" t="s">
        <v>2498</v>
      </c>
      <c r="F1188" s="3" t="s">
        <v>2499</v>
      </c>
      <c r="G1188" s="3">
        <v>286.42</v>
      </c>
    </row>
    <row r="1189" spans="1:7" x14ac:dyDescent="0.25">
      <c r="A1189" s="1" t="s">
        <v>3169</v>
      </c>
      <c r="B1189" s="2">
        <v>77</v>
      </c>
      <c r="C1189" s="3" t="str">
        <f>"011612290"</f>
        <v>011612290</v>
      </c>
      <c r="D1189" s="3" t="s">
        <v>1506</v>
      </c>
      <c r="E1189" s="3" t="s">
        <v>2500</v>
      </c>
      <c r="F1189" s="3" t="s">
        <v>2501</v>
      </c>
      <c r="G1189" s="3">
        <v>286.42</v>
      </c>
    </row>
    <row r="1190" spans="1:7" x14ac:dyDescent="0.25">
      <c r="A1190" s="1" t="s">
        <v>3169</v>
      </c>
      <c r="B1190" s="2">
        <v>77</v>
      </c>
      <c r="C1190" s="3" t="str">
        <f>"011612291"</f>
        <v>011612291</v>
      </c>
      <c r="D1190" s="3" t="s">
        <v>1506</v>
      </c>
      <c r="E1190" s="3" t="s">
        <v>2502</v>
      </c>
      <c r="F1190" s="3" t="s">
        <v>2503</v>
      </c>
      <c r="G1190" s="3">
        <v>286.42</v>
      </c>
    </row>
    <row r="1191" spans="1:7" x14ac:dyDescent="0.25">
      <c r="A1191" s="1" t="s">
        <v>3169</v>
      </c>
      <c r="B1191" s="2">
        <v>77</v>
      </c>
      <c r="C1191" s="3" t="str">
        <f>"011612292"</f>
        <v>011612292</v>
      </c>
      <c r="D1191" s="3" t="s">
        <v>1506</v>
      </c>
      <c r="E1191" s="3"/>
      <c r="F1191" s="3" t="s">
        <v>2504</v>
      </c>
      <c r="G1191" s="3">
        <v>286.42</v>
      </c>
    </row>
    <row r="1192" spans="1:7" x14ac:dyDescent="0.25">
      <c r="A1192" s="1" t="s">
        <v>3169</v>
      </c>
      <c r="B1192" s="2">
        <v>77</v>
      </c>
      <c r="C1192" s="3" t="str">
        <f>"011612295"</f>
        <v>011612295</v>
      </c>
      <c r="D1192" s="3" t="s">
        <v>1506</v>
      </c>
      <c r="E1192" s="3" t="s">
        <v>2505</v>
      </c>
      <c r="F1192" s="3" t="s">
        <v>2506</v>
      </c>
      <c r="G1192" s="3">
        <v>286.42</v>
      </c>
    </row>
    <row r="1193" spans="1:7" x14ac:dyDescent="0.25">
      <c r="A1193" s="1" t="s">
        <v>3169</v>
      </c>
      <c r="B1193" s="2">
        <v>77</v>
      </c>
      <c r="C1193" s="3" t="str">
        <f>"011612296"</f>
        <v>011612296</v>
      </c>
      <c r="D1193" s="3" t="s">
        <v>1506</v>
      </c>
      <c r="E1193" s="3" t="s">
        <v>2507</v>
      </c>
      <c r="F1193" s="3" t="s">
        <v>2508</v>
      </c>
      <c r="G1193" s="3">
        <v>286.42</v>
      </c>
    </row>
    <row r="1194" spans="1:7" x14ac:dyDescent="0.25">
      <c r="A1194" s="1" t="s">
        <v>3169</v>
      </c>
      <c r="B1194" s="2">
        <v>77</v>
      </c>
      <c r="C1194" s="3" t="str">
        <f>"011612297"</f>
        <v>011612297</v>
      </c>
      <c r="D1194" s="3" t="s">
        <v>1506</v>
      </c>
      <c r="E1194" s="3" t="s">
        <v>2509</v>
      </c>
      <c r="F1194" s="3" t="s">
        <v>2510</v>
      </c>
      <c r="G1194" s="3">
        <v>286.42</v>
      </c>
    </row>
    <row r="1195" spans="1:7" x14ac:dyDescent="0.25">
      <c r="A1195" s="1" t="s">
        <v>3169</v>
      </c>
      <c r="B1195" s="2">
        <v>77</v>
      </c>
      <c r="C1195" s="3" t="str">
        <f>"011612298"</f>
        <v>011612298</v>
      </c>
      <c r="D1195" s="3" t="s">
        <v>1506</v>
      </c>
      <c r="E1195" s="3" t="s">
        <v>2511</v>
      </c>
      <c r="F1195" s="3" t="s">
        <v>2512</v>
      </c>
      <c r="G1195" s="3">
        <v>286.42</v>
      </c>
    </row>
    <row r="1196" spans="1:7" x14ac:dyDescent="0.25">
      <c r="A1196" s="1" t="s">
        <v>3169</v>
      </c>
      <c r="B1196" s="2">
        <v>77</v>
      </c>
      <c r="C1196" s="3" t="str">
        <f>"011612299"</f>
        <v>011612299</v>
      </c>
      <c r="D1196" s="3" t="s">
        <v>1506</v>
      </c>
      <c r="E1196" s="3" t="s">
        <v>2513</v>
      </c>
      <c r="F1196" s="3" t="s">
        <v>2514</v>
      </c>
      <c r="G1196" s="3">
        <v>286.42</v>
      </c>
    </row>
    <row r="1197" spans="1:7" x14ac:dyDescent="0.25">
      <c r="A1197" s="1" t="s">
        <v>3169</v>
      </c>
      <c r="B1197" s="2">
        <v>77</v>
      </c>
      <c r="C1197" s="3" t="str">
        <f>"011612300"</f>
        <v>011612300</v>
      </c>
      <c r="D1197" s="3" t="s">
        <v>1506</v>
      </c>
      <c r="E1197" s="3" t="s">
        <v>2515</v>
      </c>
      <c r="F1197" s="3" t="s">
        <v>2516</v>
      </c>
      <c r="G1197" s="3">
        <v>286.42</v>
      </c>
    </row>
    <row r="1198" spans="1:7" x14ac:dyDescent="0.25">
      <c r="A1198" s="1" t="s">
        <v>3169</v>
      </c>
      <c r="B1198" s="2">
        <v>77</v>
      </c>
      <c r="C1198" s="3" t="str">
        <f>"011612301"</f>
        <v>011612301</v>
      </c>
      <c r="D1198" s="3" t="s">
        <v>1506</v>
      </c>
      <c r="E1198" s="3" t="s">
        <v>2517</v>
      </c>
      <c r="F1198" s="3" t="s">
        <v>2518</v>
      </c>
      <c r="G1198" s="3">
        <v>286.42</v>
      </c>
    </row>
    <row r="1199" spans="1:7" x14ac:dyDescent="0.25">
      <c r="A1199" s="1" t="s">
        <v>3169</v>
      </c>
      <c r="B1199" s="2">
        <v>77</v>
      </c>
      <c r="C1199" s="3" t="str">
        <f>"011612302"</f>
        <v>011612302</v>
      </c>
      <c r="D1199" s="3" t="s">
        <v>1506</v>
      </c>
      <c r="E1199" s="3" t="s">
        <v>2519</v>
      </c>
      <c r="F1199" s="3" t="s">
        <v>2520</v>
      </c>
      <c r="G1199" s="3">
        <v>286.42</v>
      </c>
    </row>
    <row r="1200" spans="1:7" x14ac:dyDescent="0.25">
      <c r="A1200" s="1" t="s">
        <v>3169</v>
      </c>
      <c r="B1200" s="2">
        <v>77</v>
      </c>
      <c r="C1200" s="3" t="str">
        <f>"011612303"</f>
        <v>011612303</v>
      </c>
      <c r="D1200" s="3" t="s">
        <v>1506</v>
      </c>
      <c r="E1200" s="3" t="s">
        <v>2521</v>
      </c>
      <c r="F1200" s="3" t="s">
        <v>2522</v>
      </c>
      <c r="G1200" s="3">
        <v>286.42</v>
      </c>
    </row>
    <row r="1201" spans="1:7" x14ac:dyDescent="0.25">
      <c r="A1201" s="1" t="s">
        <v>3169</v>
      </c>
      <c r="B1201" s="2">
        <v>77</v>
      </c>
      <c r="C1201" s="3" t="str">
        <f>"011612304"</f>
        <v>011612304</v>
      </c>
      <c r="D1201" s="3" t="s">
        <v>1506</v>
      </c>
      <c r="E1201" s="3" t="s">
        <v>2523</v>
      </c>
      <c r="F1201" s="3" t="s">
        <v>2524</v>
      </c>
      <c r="G1201" s="3">
        <v>286.42</v>
      </c>
    </row>
    <row r="1202" spans="1:7" x14ac:dyDescent="0.25">
      <c r="A1202" s="1" t="s">
        <v>3169</v>
      </c>
      <c r="B1202" s="2">
        <v>77</v>
      </c>
      <c r="C1202" s="3" t="str">
        <f>"011612305"</f>
        <v>011612305</v>
      </c>
      <c r="D1202" s="3" t="s">
        <v>1506</v>
      </c>
      <c r="E1202" s="3" t="s">
        <v>2525</v>
      </c>
      <c r="F1202" s="3" t="s">
        <v>2526</v>
      </c>
      <c r="G1202" s="3">
        <v>286.42</v>
      </c>
    </row>
    <row r="1203" spans="1:7" x14ac:dyDescent="0.25">
      <c r="A1203" s="1" t="s">
        <v>3169</v>
      </c>
      <c r="B1203" s="2">
        <v>77</v>
      </c>
      <c r="C1203" s="3" t="str">
        <f>"011612306"</f>
        <v>011612306</v>
      </c>
      <c r="D1203" s="3" t="s">
        <v>1506</v>
      </c>
      <c r="E1203" s="3" t="s">
        <v>2527</v>
      </c>
      <c r="F1203" s="3" t="s">
        <v>2528</v>
      </c>
      <c r="G1203" s="3">
        <v>286.42</v>
      </c>
    </row>
    <row r="1204" spans="1:7" x14ac:dyDescent="0.25">
      <c r="A1204" s="1" t="s">
        <v>3169</v>
      </c>
      <c r="B1204" s="2">
        <v>77</v>
      </c>
      <c r="C1204" s="3" t="str">
        <f>"011612307"</f>
        <v>011612307</v>
      </c>
      <c r="D1204" s="3" t="s">
        <v>1506</v>
      </c>
      <c r="E1204" s="3" t="s">
        <v>2529</v>
      </c>
      <c r="F1204" s="3" t="s">
        <v>2530</v>
      </c>
      <c r="G1204" s="3">
        <v>286.42</v>
      </c>
    </row>
    <row r="1205" spans="1:7" x14ac:dyDescent="0.25">
      <c r="A1205" s="1" t="s">
        <v>3169</v>
      </c>
      <c r="B1205" s="2">
        <v>77</v>
      </c>
      <c r="C1205" s="3" t="str">
        <f>"011612308"</f>
        <v>011612308</v>
      </c>
      <c r="D1205" s="3" t="s">
        <v>1506</v>
      </c>
      <c r="E1205" s="3" t="s">
        <v>2531</v>
      </c>
      <c r="F1205" s="3" t="s">
        <v>2532</v>
      </c>
      <c r="G1205" s="3">
        <v>286.42</v>
      </c>
    </row>
    <row r="1206" spans="1:7" x14ac:dyDescent="0.25">
      <c r="A1206" s="1" t="s">
        <v>3169</v>
      </c>
      <c r="B1206" s="2">
        <v>77</v>
      </c>
      <c r="C1206" s="3" t="str">
        <f>"011612309"</f>
        <v>011612309</v>
      </c>
      <c r="D1206" s="3" t="s">
        <v>1506</v>
      </c>
      <c r="E1206" s="3" t="s">
        <v>2533</v>
      </c>
      <c r="F1206" s="3" t="s">
        <v>2534</v>
      </c>
      <c r="G1206" s="3">
        <v>286.42</v>
      </c>
    </row>
    <row r="1207" spans="1:7" x14ac:dyDescent="0.25">
      <c r="A1207" s="1" t="s">
        <v>3169</v>
      </c>
      <c r="B1207" s="2">
        <v>77</v>
      </c>
      <c r="C1207" s="3" t="str">
        <f>"011612310"</f>
        <v>011612310</v>
      </c>
      <c r="D1207" s="3" t="s">
        <v>1506</v>
      </c>
      <c r="E1207" s="3" t="s">
        <v>2535</v>
      </c>
      <c r="F1207" s="3" t="s">
        <v>2536</v>
      </c>
      <c r="G1207" s="3">
        <v>286.42</v>
      </c>
    </row>
    <row r="1208" spans="1:7" x14ac:dyDescent="0.25">
      <c r="A1208" s="1" t="s">
        <v>3169</v>
      </c>
      <c r="B1208" s="2">
        <v>77</v>
      </c>
      <c r="C1208" s="3" t="str">
        <f>"011612311"</f>
        <v>011612311</v>
      </c>
      <c r="D1208" s="3" t="s">
        <v>1506</v>
      </c>
      <c r="E1208" s="3" t="s">
        <v>2537</v>
      </c>
      <c r="F1208" s="3" t="s">
        <v>2538</v>
      </c>
      <c r="G1208" s="3">
        <v>286.42</v>
      </c>
    </row>
    <row r="1209" spans="1:7" x14ac:dyDescent="0.25">
      <c r="A1209" s="1" t="s">
        <v>3169</v>
      </c>
      <c r="B1209" s="2">
        <v>77</v>
      </c>
      <c r="C1209" s="3" t="str">
        <f>"011612312"</f>
        <v>011612312</v>
      </c>
      <c r="D1209" s="3" t="s">
        <v>1506</v>
      </c>
      <c r="E1209" s="3" t="s">
        <v>2539</v>
      </c>
      <c r="F1209" s="3" t="s">
        <v>2540</v>
      </c>
      <c r="G1209" s="3">
        <v>286.42</v>
      </c>
    </row>
    <row r="1210" spans="1:7" x14ac:dyDescent="0.25">
      <c r="A1210" s="1" t="s">
        <v>3169</v>
      </c>
      <c r="B1210" s="2">
        <v>77</v>
      </c>
      <c r="C1210" s="3" t="str">
        <f>"011612313"</f>
        <v>011612313</v>
      </c>
      <c r="D1210" s="3" t="s">
        <v>1506</v>
      </c>
      <c r="E1210" s="3" t="s">
        <v>2541</v>
      </c>
      <c r="F1210" s="3" t="s">
        <v>2542</v>
      </c>
      <c r="G1210" s="3">
        <v>286.42</v>
      </c>
    </row>
    <row r="1211" spans="1:7" x14ac:dyDescent="0.25">
      <c r="A1211" s="1" t="s">
        <v>3169</v>
      </c>
      <c r="B1211" s="2">
        <v>77</v>
      </c>
      <c r="C1211" s="3" t="str">
        <f>"011612314"</f>
        <v>011612314</v>
      </c>
      <c r="D1211" s="3" t="s">
        <v>1506</v>
      </c>
      <c r="E1211" s="3" t="s">
        <v>2543</v>
      </c>
      <c r="F1211" s="3" t="s">
        <v>2544</v>
      </c>
      <c r="G1211" s="3">
        <v>286.42</v>
      </c>
    </row>
    <row r="1212" spans="1:7" x14ac:dyDescent="0.25">
      <c r="A1212" s="1" t="s">
        <v>3169</v>
      </c>
      <c r="B1212" s="2">
        <v>77</v>
      </c>
      <c r="C1212" s="3" t="str">
        <f>"011612315"</f>
        <v>011612315</v>
      </c>
      <c r="D1212" s="3" t="s">
        <v>1506</v>
      </c>
      <c r="E1212" s="3" t="s">
        <v>2545</v>
      </c>
      <c r="F1212" s="3" t="s">
        <v>2546</v>
      </c>
      <c r="G1212" s="3">
        <v>286.42</v>
      </c>
    </row>
    <row r="1213" spans="1:7" x14ac:dyDescent="0.25">
      <c r="A1213" s="1" t="s">
        <v>3169</v>
      </c>
      <c r="B1213" s="2">
        <v>77</v>
      </c>
      <c r="C1213" s="3" t="str">
        <f>"011612316"</f>
        <v>011612316</v>
      </c>
      <c r="D1213" s="3" t="s">
        <v>1506</v>
      </c>
      <c r="E1213" s="3"/>
      <c r="F1213" s="3" t="s">
        <v>2547</v>
      </c>
      <c r="G1213" s="3">
        <v>286.42</v>
      </c>
    </row>
    <row r="1214" spans="1:7" x14ac:dyDescent="0.25">
      <c r="A1214" s="1" t="s">
        <v>3169</v>
      </c>
      <c r="B1214" s="2">
        <v>77</v>
      </c>
      <c r="C1214" s="3" t="str">
        <f>"011612317"</f>
        <v>011612317</v>
      </c>
      <c r="D1214" s="3" t="s">
        <v>1506</v>
      </c>
      <c r="E1214" s="3"/>
      <c r="F1214" s="3" t="s">
        <v>2548</v>
      </c>
      <c r="G1214" s="3">
        <v>286.42</v>
      </c>
    </row>
    <row r="1215" spans="1:7" x14ac:dyDescent="0.25">
      <c r="A1215" s="1" t="s">
        <v>3169</v>
      </c>
      <c r="B1215" s="2">
        <v>77</v>
      </c>
      <c r="C1215" s="3" t="str">
        <f>"011612318"</f>
        <v>011612318</v>
      </c>
      <c r="D1215" s="3" t="s">
        <v>1506</v>
      </c>
      <c r="E1215" s="3" t="s">
        <v>2549</v>
      </c>
      <c r="F1215" s="3" t="s">
        <v>2550</v>
      </c>
      <c r="G1215" s="3">
        <v>286.42</v>
      </c>
    </row>
    <row r="1216" spans="1:7" x14ac:dyDescent="0.25">
      <c r="A1216" s="1" t="s">
        <v>3169</v>
      </c>
      <c r="B1216" s="2">
        <v>77</v>
      </c>
      <c r="C1216" s="3" t="str">
        <f>"011612319"</f>
        <v>011612319</v>
      </c>
      <c r="D1216" s="3" t="s">
        <v>1506</v>
      </c>
      <c r="E1216" s="3" t="s">
        <v>2551</v>
      </c>
      <c r="F1216" s="3" t="s">
        <v>2552</v>
      </c>
      <c r="G1216" s="3">
        <v>286.42</v>
      </c>
    </row>
    <row r="1217" spans="1:7" x14ac:dyDescent="0.25">
      <c r="A1217" s="1" t="s">
        <v>3169</v>
      </c>
      <c r="B1217" s="2">
        <v>77</v>
      </c>
      <c r="C1217" s="3" t="str">
        <f>"011612320"</f>
        <v>011612320</v>
      </c>
      <c r="D1217" s="3" t="s">
        <v>1506</v>
      </c>
      <c r="E1217" s="3" t="s">
        <v>2553</v>
      </c>
      <c r="F1217" s="3" t="s">
        <v>2554</v>
      </c>
      <c r="G1217" s="3">
        <v>286.42</v>
      </c>
    </row>
    <row r="1218" spans="1:7" x14ac:dyDescent="0.25">
      <c r="A1218" s="1" t="s">
        <v>3169</v>
      </c>
      <c r="B1218" s="2">
        <v>77</v>
      </c>
      <c r="C1218" s="3" t="str">
        <f>"011612321"</f>
        <v>011612321</v>
      </c>
      <c r="D1218" s="3" t="s">
        <v>1506</v>
      </c>
      <c r="E1218" s="3" t="s">
        <v>2555</v>
      </c>
      <c r="F1218" s="3" t="s">
        <v>2556</v>
      </c>
      <c r="G1218" s="3">
        <v>286.42</v>
      </c>
    </row>
    <row r="1219" spans="1:7" x14ac:dyDescent="0.25">
      <c r="A1219" s="1" t="s">
        <v>3169</v>
      </c>
      <c r="B1219" s="2">
        <v>77</v>
      </c>
      <c r="C1219" s="3" t="str">
        <f>"011612322"</f>
        <v>011612322</v>
      </c>
      <c r="D1219" s="3" t="s">
        <v>1506</v>
      </c>
      <c r="E1219" s="3" t="s">
        <v>2557</v>
      </c>
      <c r="F1219" s="3" t="s">
        <v>2558</v>
      </c>
      <c r="G1219" s="3">
        <v>286.42</v>
      </c>
    </row>
    <row r="1220" spans="1:7" x14ac:dyDescent="0.25">
      <c r="A1220" s="1" t="s">
        <v>3169</v>
      </c>
      <c r="B1220" s="2">
        <v>77</v>
      </c>
      <c r="C1220" s="3" t="str">
        <f>"011612323"</f>
        <v>011612323</v>
      </c>
      <c r="D1220" s="3" t="s">
        <v>1506</v>
      </c>
      <c r="E1220" s="3" t="s">
        <v>2559</v>
      </c>
      <c r="F1220" s="3" t="s">
        <v>2560</v>
      </c>
      <c r="G1220" s="3">
        <v>286.42</v>
      </c>
    </row>
    <row r="1221" spans="1:7" x14ac:dyDescent="0.25">
      <c r="A1221" s="1" t="s">
        <v>3169</v>
      </c>
      <c r="B1221" s="2">
        <v>77</v>
      </c>
      <c r="C1221" s="3" t="str">
        <f>"011612324"</f>
        <v>011612324</v>
      </c>
      <c r="D1221" s="3" t="s">
        <v>1506</v>
      </c>
      <c r="E1221" s="3" t="s">
        <v>2561</v>
      </c>
      <c r="F1221" s="3" t="s">
        <v>2562</v>
      </c>
      <c r="G1221" s="3">
        <v>286.42</v>
      </c>
    </row>
    <row r="1222" spans="1:7" x14ac:dyDescent="0.25">
      <c r="A1222" s="1" t="s">
        <v>3169</v>
      </c>
      <c r="B1222" s="2">
        <v>77</v>
      </c>
      <c r="C1222" s="3" t="str">
        <f>"011612325"</f>
        <v>011612325</v>
      </c>
      <c r="D1222" s="3" t="s">
        <v>1506</v>
      </c>
      <c r="E1222" s="3" t="s">
        <v>2563</v>
      </c>
      <c r="F1222" s="3" t="s">
        <v>2564</v>
      </c>
      <c r="G1222" s="3">
        <v>286.42</v>
      </c>
    </row>
    <row r="1223" spans="1:7" x14ac:dyDescent="0.25">
      <c r="A1223" s="1" t="s">
        <v>3169</v>
      </c>
      <c r="B1223" s="2">
        <v>77</v>
      </c>
      <c r="C1223" s="3" t="str">
        <f>"011612326"</f>
        <v>011612326</v>
      </c>
      <c r="D1223" s="3" t="s">
        <v>1506</v>
      </c>
      <c r="E1223" s="3" t="s">
        <v>2565</v>
      </c>
      <c r="F1223" s="3" t="s">
        <v>2566</v>
      </c>
      <c r="G1223" s="3">
        <v>286.42</v>
      </c>
    </row>
    <row r="1224" spans="1:7" x14ac:dyDescent="0.25">
      <c r="A1224" s="1" t="s">
        <v>3169</v>
      </c>
      <c r="B1224" s="2">
        <v>77</v>
      </c>
      <c r="C1224" s="3" t="str">
        <f>"011612327"</f>
        <v>011612327</v>
      </c>
      <c r="D1224" s="3" t="s">
        <v>1506</v>
      </c>
      <c r="E1224" s="3"/>
      <c r="F1224" s="3" t="s">
        <v>2567</v>
      </c>
      <c r="G1224" s="3">
        <v>286.42</v>
      </c>
    </row>
    <row r="1225" spans="1:7" x14ac:dyDescent="0.25">
      <c r="A1225" s="1" t="s">
        <v>3169</v>
      </c>
      <c r="B1225" s="2">
        <v>77</v>
      </c>
      <c r="C1225" s="3" t="str">
        <f>"011612328"</f>
        <v>011612328</v>
      </c>
      <c r="D1225" s="3" t="s">
        <v>1506</v>
      </c>
      <c r="E1225" s="3"/>
      <c r="F1225" s="3" t="s">
        <v>2568</v>
      </c>
      <c r="G1225" s="3">
        <v>286.42</v>
      </c>
    </row>
    <row r="1226" spans="1:7" x14ac:dyDescent="0.25">
      <c r="A1226" s="1" t="s">
        <v>3169</v>
      </c>
      <c r="B1226" s="2">
        <v>77</v>
      </c>
      <c r="C1226" s="3" t="str">
        <f>"011612329"</f>
        <v>011612329</v>
      </c>
      <c r="D1226" s="3" t="s">
        <v>1506</v>
      </c>
      <c r="E1226" s="3" t="s">
        <v>2569</v>
      </c>
      <c r="F1226" s="3" t="s">
        <v>2570</v>
      </c>
      <c r="G1226" s="3">
        <v>286.42</v>
      </c>
    </row>
    <row r="1227" spans="1:7" x14ac:dyDescent="0.25">
      <c r="A1227" s="1" t="s">
        <v>3169</v>
      </c>
      <c r="B1227" s="2">
        <v>77</v>
      </c>
      <c r="C1227" s="3" t="str">
        <f>"011612332"</f>
        <v>011612332</v>
      </c>
      <c r="D1227" s="3" t="s">
        <v>1506</v>
      </c>
      <c r="E1227" s="3" t="s">
        <v>2571</v>
      </c>
      <c r="F1227" s="3" t="s">
        <v>2572</v>
      </c>
      <c r="G1227" s="3">
        <v>286.42</v>
      </c>
    </row>
    <row r="1228" spans="1:7" x14ac:dyDescent="0.25">
      <c r="A1228" s="1" t="s">
        <v>3169</v>
      </c>
      <c r="B1228" s="2">
        <v>77</v>
      </c>
      <c r="C1228" s="3" t="str">
        <f>"011612333"</f>
        <v>011612333</v>
      </c>
      <c r="D1228" s="3" t="s">
        <v>1506</v>
      </c>
      <c r="E1228" s="3" t="s">
        <v>2573</v>
      </c>
      <c r="F1228" s="3" t="s">
        <v>2574</v>
      </c>
      <c r="G1228" s="3">
        <v>286.42</v>
      </c>
    </row>
    <row r="1229" spans="1:7" x14ac:dyDescent="0.25">
      <c r="A1229" s="1" t="s">
        <v>3169</v>
      </c>
      <c r="B1229" s="2">
        <v>77</v>
      </c>
      <c r="C1229" s="3" t="str">
        <f>"011612334"</f>
        <v>011612334</v>
      </c>
      <c r="D1229" s="3" t="s">
        <v>1506</v>
      </c>
      <c r="E1229" s="3" t="s">
        <v>2575</v>
      </c>
      <c r="F1229" s="3" t="s">
        <v>2576</v>
      </c>
      <c r="G1229" s="3">
        <v>286.42</v>
      </c>
    </row>
    <row r="1230" spans="1:7" x14ac:dyDescent="0.25">
      <c r="A1230" s="1" t="s">
        <v>3169</v>
      </c>
      <c r="B1230" s="2">
        <v>77</v>
      </c>
      <c r="C1230" s="3" t="str">
        <f>"011612335"</f>
        <v>011612335</v>
      </c>
      <c r="D1230" s="3" t="s">
        <v>1506</v>
      </c>
      <c r="E1230" s="3" t="s">
        <v>2577</v>
      </c>
      <c r="F1230" s="3" t="s">
        <v>2578</v>
      </c>
      <c r="G1230" s="3">
        <v>286.42</v>
      </c>
    </row>
    <row r="1231" spans="1:7" x14ac:dyDescent="0.25">
      <c r="A1231" s="1" t="s">
        <v>3169</v>
      </c>
      <c r="B1231" s="2">
        <v>77</v>
      </c>
      <c r="C1231" s="3" t="str">
        <f>"011612336"</f>
        <v>011612336</v>
      </c>
      <c r="D1231" s="3" t="s">
        <v>1506</v>
      </c>
      <c r="E1231" s="3"/>
      <c r="F1231" s="3" t="s">
        <v>2579</v>
      </c>
      <c r="G1231" s="3">
        <v>286.42</v>
      </c>
    </row>
    <row r="1232" spans="1:7" x14ac:dyDescent="0.25">
      <c r="A1232" s="1" t="s">
        <v>3169</v>
      </c>
      <c r="B1232" s="2">
        <v>77</v>
      </c>
      <c r="C1232" s="3" t="str">
        <f>"011612337"</f>
        <v>011612337</v>
      </c>
      <c r="D1232" s="3" t="s">
        <v>1506</v>
      </c>
      <c r="E1232" s="3"/>
      <c r="F1232" s="3" t="s">
        <v>2580</v>
      </c>
      <c r="G1232" s="3">
        <v>286.42</v>
      </c>
    </row>
    <row r="1233" spans="1:7" x14ac:dyDescent="0.25">
      <c r="A1233" s="1" t="s">
        <v>3169</v>
      </c>
      <c r="B1233" s="2">
        <v>77</v>
      </c>
      <c r="C1233" s="3" t="str">
        <f>"011612338"</f>
        <v>011612338</v>
      </c>
      <c r="D1233" s="3" t="s">
        <v>1506</v>
      </c>
      <c r="E1233" s="3" t="s">
        <v>2581</v>
      </c>
      <c r="F1233" s="3" t="s">
        <v>2582</v>
      </c>
      <c r="G1233" s="3">
        <v>286.42</v>
      </c>
    </row>
    <row r="1234" spans="1:7" x14ac:dyDescent="0.25">
      <c r="A1234" s="1" t="s">
        <v>3169</v>
      </c>
      <c r="B1234" s="2">
        <v>77</v>
      </c>
      <c r="C1234" s="3" t="str">
        <f>"011612339"</f>
        <v>011612339</v>
      </c>
      <c r="D1234" s="3" t="s">
        <v>1506</v>
      </c>
      <c r="E1234" s="3" t="s">
        <v>2583</v>
      </c>
      <c r="F1234" s="3" t="s">
        <v>2584</v>
      </c>
      <c r="G1234" s="3">
        <v>286.42</v>
      </c>
    </row>
    <row r="1235" spans="1:7" x14ac:dyDescent="0.25">
      <c r="A1235" s="1" t="s">
        <v>3169</v>
      </c>
      <c r="B1235" s="2">
        <v>77</v>
      </c>
      <c r="C1235" s="3" t="str">
        <f>"011612344"</f>
        <v>011612344</v>
      </c>
      <c r="D1235" s="3" t="s">
        <v>1506</v>
      </c>
      <c r="E1235" s="3" t="s">
        <v>2585</v>
      </c>
      <c r="F1235" s="3" t="s">
        <v>2586</v>
      </c>
      <c r="G1235" s="3">
        <v>286.42</v>
      </c>
    </row>
    <row r="1236" spans="1:7" x14ac:dyDescent="0.25">
      <c r="A1236" s="1" t="s">
        <v>3169</v>
      </c>
      <c r="B1236" s="2">
        <v>77</v>
      </c>
      <c r="C1236" s="3" t="str">
        <f>"011612345"</f>
        <v>011612345</v>
      </c>
      <c r="D1236" s="3" t="s">
        <v>1506</v>
      </c>
      <c r="E1236" s="3" t="s">
        <v>2587</v>
      </c>
      <c r="F1236" s="3" t="s">
        <v>2588</v>
      </c>
      <c r="G1236" s="3">
        <v>286.42</v>
      </c>
    </row>
    <row r="1237" spans="1:7" x14ac:dyDescent="0.25">
      <c r="A1237" s="1" t="s">
        <v>3169</v>
      </c>
      <c r="B1237" s="2">
        <v>77</v>
      </c>
      <c r="C1237" s="3" t="str">
        <f>"011612346"</f>
        <v>011612346</v>
      </c>
      <c r="D1237" s="3" t="s">
        <v>1506</v>
      </c>
      <c r="E1237" s="3" t="s">
        <v>2589</v>
      </c>
      <c r="F1237" s="3" t="s">
        <v>2590</v>
      </c>
      <c r="G1237" s="3">
        <v>286.42</v>
      </c>
    </row>
    <row r="1238" spans="1:7" x14ac:dyDescent="0.25">
      <c r="A1238" s="1" t="s">
        <v>3169</v>
      </c>
      <c r="B1238" s="2">
        <v>77</v>
      </c>
      <c r="C1238" s="3" t="str">
        <f>"011612349"</f>
        <v>011612349</v>
      </c>
      <c r="D1238" s="3" t="s">
        <v>1506</v>
      </c>
      <c r="E1238" s="3" t="s">
        <v>2591</v>
      </c>
      <c r="F1238" s="3" t="s">
        <v>2592</v>
      </c>
      <c r="G1238" s="3">
        <v>286.42</v>
      </c>
    </row>
    <row r="1239" spans="1:7" x14ac:dyDescent="0.25">
      <c r="A1239" s="1" t="s">
        <v>3169</v>
      </c>
      <c r="B1239" s="2">
        <v>77</v>
      </c>
      <c r="C1239" s="3" t="str">
        <f>"011612350"</f>
        <v>011612350</v>
      </c>
      <c r="D1239" s="3" t="s">
        <v>1506</v>
      </c>
      <c r="E1239" s="3" t="s">
        <v>2593</v>
      </c>
      <c r="F1239" s="3" t="s">
        <v>2594</v>
      </c>
      <c r="G1239" s="3">
        <v>286.42</v>
      </c>
    </row>
    <row r="1240" spans="1:7" x14ac:dyDescent="0.25">
      <c r="A1240" s="1" t="s">
        <v>3169</v>
      </c>
      <c r="B1240" s="2">
        <v>77</v>
      </c>
      <c r="C1240" s="3" t="str">
        <f>"011612351"</f>
        <v>011612351</v>
      </c>
      <c r="D1240" s="3" t="s">
        <v>1506</v>
      </c>
      <c r="E1240" s="3" t="s">
        <v>2595</v>
      </c>
      <c r="F1240" s="3" t="s">
        <v>2596</v>
      </c>
      <c r="G1240" s="3">
        <v>286.42</v>
      </c>
    </row>
    <row r="1241" spans="1:7" x14ac:dyDescent="0.25">
      <c r="A1241" s="1" t="s">
        <v>3169</v>
      </c>
      <c r="B1241" s="2">
        <v>77</v>
      </c>
      <c r="C1241" s="3" t="str">
        <f>"011612352"</f>
        <v>011612352</v>
      </c>
      <c r="D1241" s="3" t="s">
        <v>1506</v>
      </c>
      <c r="E1241" s="3" t="s">
        <v>2597</v>
      </c>
      <c r="F1241" s="3" t="s">
        <v>2598</v>
      </c>
      <c r="G1241" s="3">
        <v>286.42</v>
      </c>
    </row>
    <row r="1242" spans="1:7" x14ac:dyDescent="0.25">
      <c r="A1242" s="1" t="s">
        <v>3169</v>
      </c>
      <c r="B1242" s="2">
        <v>77</v>
      </c>
      <c r="C1242" s="3" t="str">
        <f>"011612355"</f>
        <v>011612355</v>
      </c>
      <c r="D1242" s="3" t="s">
        <v>1506</v>
      </c>
      <c r="E1242" s="3"/>
      <c r="F1242" s="3" t="s">
        <v>2599</v>
      </c>
      <c r="G1242" s="3">
        <v>6.16</v>
      </c>
    </row>
    <row r="1243" spans="1:7" x14ac:dyDescent="0.25">
      <c r="A1243" s="1" t="s">
        <v>3169</v>
      </c>
      <c r="B1243" s="2">
        <v>77</v>
      </c>
      <c r="C1243" s="3" t="str">
        <f>"011612416"</f>
        <v>011612416</v>
      </c>
      <c r="D1243" s="3" t="s">
        <v>2600</v>
      </c>
      <c r="E1243" s="3"/>
      <c r="F1243" s="3" t="s">
        <v>2601</v>
      </c>
      <c r="G1243" s="3">
        <v>0.4</v>
      </c>
    </row>
    <row r="1244" spans="1:7" x14ac:dyDescent="0.25">
      <c r="A1244" s="1" t="s">
        <v>3169</v>
      </c>
      <c r="B1244" s="2">
        <v>77</v>
      </c>
      <c r="C1244" s="3" t="str">
        <f>"011613055"</f>
        <v>011613055</v>
      </c>
      <c r="D1244" s="3" t="s">
        <v>1506</v>
      </c>
      <c r="E1244" s="3" t="s">
        <v>2602</v>
      </c>
      <c r="F1244" s="3" t="s">
        <v>2603</v>
      </c>
      <c r="G1244" s="3">
        <v>925.92</v>
      </c>
    </row>
    <row r="1245" spans="1:7" x14ac:dyDescent="0.25">
      <c r="A1245" s="1" t="s">
        <v>3169</v>
      </c>
      <c r="B1245" s="2">
        <v>77</v>
      </c>
      <c r="C1245" s="3" t="str">
        <f>"011613056"</f>
        <v>011613056</v>
      </c>
      <c r="D1245" s="3" t="s">
        <v>1506</v>
      </c>
      <c r="E1245" s="3"/>
      <c r="F1245" s="3" t="s">
        <v>2603</v>
      </c>
      <c r="G1245" s="3">
        <v>925.92</v>
      </c>
    </row>
    <row r="1246" spans="1:7" x14ac:dyDescent="0.25">
      <c r="A1246" s="1" t="s">
        <v>3169</v>
      </c>
      <c r="B1246" s="2">
        <v>77</v>
      </c>
      <c r="C1246" s="3" t="str">
        <f>"011613438"</f>
        <v>011613438</v>
      </c>
      <c r="D1246" s="3" t="s">
        <v>2604</v>
      </c>
      <c r="E1246" s="3"/>
      <c r="F1246" s="3" t="s">
        <v>2605</v>
      </c>
      <c r="G1246" s="3">
        <v>4405.5200000000004</v>
      </c>
    </row>
    <row r="1247" spans="1:7" x14ac:dyDescent="0.25">
      <c r="A1247" s="1" t="s">
        <v>3169</v>
      </c>
      <c r="B1247" s="2">
        <v>77</v>
      </c>
      <c r="C1247" s="3" t="str">
        <f>"011613439"</f>
        <v>011613439</v>
      </c>
      <c r="D1247" s="3" t="s">
        <v>2604</v>
      </c>
      <c r="E1247" s="3"/>
      <c r="F1247" s="3" t="s">
        <v>2606</v>
      </c>
      <c r="G1247" s="3">
        <v>14.52</v>
      </c>
    </row>
    <row r="1248" spans="1:7" x14ac:dyDescent="0.25">
      <c r="A1248" s="1" t="s">
        <v>3169</v>
      </c>
      <c r="B1248" s="2">
        <v>77</v>
      </c>
      <c r="C1248" s="3" t="str">
        <f>"011613442"</f>
        <v>011613442</v>
      </c>
      <c r="D1248" s="3" t="s">
        <v>2607</v>
      </c>
      <c r="E1248" s="3"/>
      <c r="F1248" s="3" t="s">
        <v>2608</v>
      </c>
      <c r="G1248" s="3">
        <v>0</v>
      </c>
    </row>
    <row r="1249" spans="1:7" x14ac:dyDescent="0.25">
      <c r="A1249" s="1" t="s">
        <v>3169</v>
      </c>
      <c r="B1249" s="2">
        <v>77</v>
      </c>
      <c r="C1249" s="3" t="str">
        <f>"011613609"</f>
        <v>011613609</v>
      </c>
      <c r="D1249" s="3" t="s">
        <v>2609</v>
      </c>
      <c r="E1249" s="3" t="s">
        <v>2610</v>
      </c>
      <c r="F1249" s="3" t="s">
        <v>2611</v>
      </c>
      <c r="G1249" s="3">
        <v>15333.46</v>
      </c>
    </row>
    <row r="1250" spans="1:7" x14ac:dyDescent="0.25">
      <c r="A1250" s="1" t="s">
        <v>3169</v>
      </c>
      <c r="B1250" s="2">
        <v>77</v>
      </c>
      <c r="C1250" s="3" t="str">
        <f>"011613925"</f>
        <v>011613925</v>
      </c>
      <c r="D1250" s="3" t="s">
        <v>1853</v>
      </c>
      <c r="E1250" s="3"/>
      <c r="F1250" s="3" t="s">
        <v>2612</v>
      </c>
      <c r="G1250" s="3">
        <v>110.7</v>
      </c>
    </row>
    <row r="1251" spans="1:7" x14ac:dyDescent="0.25">
      <c r="A1251" s="1" t="s">
        <v>3169</v>
      </c>
      <c r="B1251" s="2">
        <v>77</v>
      </c>
      <c r="C1251" s="3" t="str">
        <f>"011614637"</f>
        <v>011614637</v>
      </c>
      <c r="D1251" s="3" t="s">
        <v>2613</v>
      </c>
      <c r="E1251" s="3"/>
      <c r="F1251" s="3" t="s">
        <v>2614</v>
      </c>
      <c r="G1251" s="3">
        <v>224.86</v>
      </c>
    </row>
    <row r="1252" spans="1:7" x14ac:dyDescent="0.25">
      <c r="A1252" s="1" t="s">
        <v>3169</v>
      </c>
      <c r="B1252" s="2">
        <v>77</v>
      </c>
      <c r="C1252" s="3" t="str">
        <f>"011614966"</f>
        <v>011614966</v>
      </c>
      <c r="D1252" s="3" t="s">
        <v>2615</v>
      </c>
      <c r="E1252" s="3" t="s">
        <v>2616</v>
      </c>
      <c r="F1252" s="3" t="s">
        <v>2617</v>
      </c>
      <c r="G1252" s="3">
        <v>4908.8599999999997</v>
      </c>
    </row>
    <row r="1253" spans="1:7" x14ac:dyDescent="0.25">
      <c r="A1253" s="1" t="s">
        <v>3169</v>
      </c>
      <c r="B1253" s="2">
        <v>77</v>
      </c>
      <c r="C1253" s="3" t="str">
        <f>"011615003"</f>
        <v>011615003</v>
      </c>
      <c r="D1253" s="3" t="s">
        <v>2618</v>
      </c>
      <c r="E1253" s="3"/>
      <c r="F1253" s="3" t="s">
        <v>2619</v>
      </c>
      <c r="G1253" s="3">
        <v>47.8</v>
      </c>
    </row>
    <row r="1254" spans="1:7" x14ac:dyDescent="0.25">
      <c r="A1254" s="1" t="s">
        <v>3169</v>
      </c>
      <c r="B1254" s="2">
        <v>77</v>
      </c>
      <c r="C1254" s="3" t="str">
        <f>"011615105"</f>
        <v>011615105</v>
      </c>
      <c r="D1254" s="3" t="s">
        <v>2620</v>
      </c>
      <c r="E1254" s="3"/>
      <c r="F1254" s="3" t="s">
        <v>2621</v>
      </c>
      <c r="G1254" s="3">
        <v>1240.42</v>
      </c>
    </row>
    <row r="1255" spans="1:7" x14ac:dyDescent="0.25">
      <c r="A1255" s="1" t="s">
        <v>3169</v>
      </c>
      <c r="B1255" s="2">
        <v>77</v>
      </c>
      <c r="C1255" s="3" t="str">
        <f>"011615125"</f>
        <v>011615125</v>
      </c>
      <c r="D1255" s="3" t="s">
        <v>2604</v>
      </c>
      <c r="E1255" s="3" t="s">
        <v>2622</v>
      </c>
      <c r="F1255" s="3" t="s">
        <v>2623</v>
      </c>
      <c r="G1255" s="3">
        <v>515.20000000000005</v>
      </c>
    </row>
    <row r="1256" spans="1:7" x14ac:dyDescent="0.25">
      <c r="A1256" s="1" t="s">
        <v>3169</v>
      </c>
      <c r="B1256" s="2">
        <v>77</v>
      </c>
      <c r="C1256" s="3" t="str">
        <f>"011615126"</f>
        <v>011615126</v>
      </c>
      <c r="D1256" s="3" t="s">
        <v>2604</v>
      </c>
      <c r="E1256" s="3" t="s">
        <v>2624</v>
      </c>
      <c r="F1256" s="3" t="s">
        <v>2625</v>
      </c>
      <c r="G1256" s="3">
        <v>515.20000000000005</v>
      </c>
    </row>
    <row r="1257" spans="1:7" x14ac:dyDescent="0.25">
      <c r="A1257" s="1" t="s">
        <v>3169</v>
      </c>
      <c r="B1257" s="2">
        <v>77</v>
      </c>
      <c r="C1257" s="3" t="str">
        <f>"011615127"</f>
        <v>011615127</v>
      </c>
      <c r="D1257" s="3" t="s">
        <v>2604</v>
      </c>
      <c r="E1257" s="3" t="s">
        <v>2626</v>
      </c>
      <c r="F1257" s="3" t="s">
        <v>2627</v>
      </c>
      <c r="G1257" s="3">
        <v>515.20000000000005</v>
      </c>
    </row>
    <row r="1258" spans="1:7" x14ac:dyDescent="0.25">
      <c r="A1258" s="1" t="s">
        <v>3169</v>
      </c>
      <c r="B1258" s="2">
        <v>77</v>
      </c>
      <c r="C1258" s="3" t="str">
        <f>"011615128"</f>
        <v>011615128</v>
      </c>
      <c r="D1258" s="3" t="s">
        <v>2604</v>
      </c>
      <c r="E1258" s="3" t="s">
        <v>2628</v>
      </c>
      <c r="F1258" s="3" t="s">
        <v>2629</v>
      </c>
      <c r="G1258" s="3">
        <v>515.20000000000005</v>
      </c>
    </row>
    <row r="1259" spans="1:7" x14ac:dyDescent="0.25">
      <c r="A1259" s="1" t="s">
        <v>3169</v>
      </c>
      <c r="B1259" s="2">
        <v>77</v>
      </c>
      <c r="C1259" s="3" t="str">
        <f>"011615129"</f>
        <v>011615129</v>
      </c>
      <c r="D1259" s="3" t="s">
        <v>2604</v>
      </c>
      <c r="E1259" s="3" t="s">
        <v>2630</v>
      </c>
      <c r="F1259" s="3" t="s">
        <v>2631</v>
      </c>
      <c r="G1259" s="3">
        <v>515.20000000000005</v>
      </c>
    </row>
    <row r="1260" spans="1:7" x14ac:dyDescent="0.25">
      <c r="A1260" s="1" t="s">
        <v>3169</v>
      </c>
      <c r="B1260" s="2">
        <v>77</v>
      </c>
      <c r="C1260" s="3" t="str">
        <f>"011615130"</f>
        <v>011615130</v>
      </c>
      <c r="D1260" s="3" t="s">
        <v>2604</v>
      </c>
      <c r="E1260" s="3" t="s">
        <v>2632</v>
      </c>
      <c r="F1260" s="3" t="s">
        <v>2633</v>
      </c>
      <c r="G1260" s="3">
        <v>515.20000000000005</v>
      </c>
    </row>
    <row r="1261" spans="1:7" x14ac:dyDescent="0.25">
      <c r="A1261" s="1" t="s">
        <v>3169</v>
      </c>
      <c r="B1261" s="2">
        <v>77</v>
      </c>
      <c r="C1261" s="3" t="str">
        <f>"011615131"</f>
        <v>011615131</v>
      </c>
      <c r="D1261" s="3" t="s">
        <v>2604</v>
      </c>
      <c r="E1261" s="3" t="s">
        <v>2634</v>
      </c>
      <c r="F1261" s="3" t="s">
        <v>2635</v>
      </c>
      <c r="G1261" s="3">
        <v>515.20000000000005</v>
      </c>
    </row>
    <row r="1262" spans="1:7" x14ac:dyDescent="0.25">
      <c r="A1262" s="1" t="s">
        <v>3169</v>
      </c>
      <c r="B1262" s="2">
        <v>77</v>
      </c>
      <c r="C1262" s="3" t="str">
        <f>"011615132"</f>
        <v>011615132</v>
      </c>
      <c r="D1262" s="3" t="s">
        <v>2604</v>
      </c>
      <c r="E1262" s="3" t="s">
        <v>2636</v>
      </c>
      <c r="F1262" s="3" t="s">
        <v>2637</v>
      </c>
      <c r="G1262" s="3">
        <v>515.20000000000005</v>
      </c>
    </row>
    <row r="1263" spans="1:7" x14ac:dyDescent="0.25">
      <c r="A1263" s="1" t="s">
        <v>3169</v>
      </c>
      <c r="B1263" s="2">
        <v>77</v>
      </c>
      <c r="C1263" s="3" t="str">
        <f>"011615133"</f>
        <v>011615133</v>
      </c>
      <c r="D1263" s="3" t="s">
        <v>2604</v>
      </c>
      <c r="E1263" s="3" t="s">
        <v>2638</v>
      </c>
      <c r="F1263" s="3" t="s">
        <v>2639</v>
      </c>
      <c r="G1263" s="3">
        <v>515.20000000000005</v>
      </c>
    </row>
    <row r="1264" spans="1:7" x14ac:dyDescent="0.25">
      <c r="A1264" s="1" t="s">
        <v>3169</v>
      </c>
      <c r="B1264" s="2">
        <v>77</v>
      </c>
      <c r="C1264" s="3" t="str">
        <f>"011615134"</f>
        <v>011615134</v>
      </c>
      <c r="D1264" s="3" t="s">
        <v>2604</v>
      </c>
      <c r="E1264" s="3" t="s">
        <v>2640</v>
      </c>
      <c r="F1264" s="3" t="s">
        <v>2641</v>
      </c>
      <c r="G1264" s="3">
        <v>515.20000000000005</v>
      </c>
    </row>
    <row r="1265" spans="1:7" x14ac:dyDescent="0.25">
      <c r="A1265" s="1" t="s">
        <v>3169</v>
      </c>
      <c r="B1265" s="2">
        <v>77</v>
      </c>
      <c r="C1265" s="3" t="str">
        <f>"011615135"</f>
        <v>011615135</v>
      </c>
      <c r="D1265" s="3" t="s">
        <v>2604</v>
      </c>
      <c r="E1265" s="3" t="s">
        <v>2642</v>
      </c>
      <c r="F1265" s="3" t="s">
        <v>2643</v>
      </c>
      <c r="G1265" s="3">
        <v>515.20000000000005</v>
      </c>
    </row>
    <row r="1266" spans="1:7" x14ac:dyDescent="0.25">
      <c r="A1266" s="1" t="s">
        <v>3169</v>
      </c>
      <c r="B1266" s="2">
        <v>77</v>
      </c>
      <c r="C1266" s="3" t="str">
        <f>"011615136"</f>
        <v>011615136</v>
      </c>
      <c r="D1266" s="3" t="s">
        <v>2604</v>
      </c>
      <c r="E1266" s="3" t="s">
        <v>2644</v>
      </c>
      <c r="F1266" s="3" t="s">
        <v>2645</v>
      </c>
      <c r="G1266" s="3">
        <v>515.20000000000005</v>
      </c>
    </row>
    <row r="1267" spans="1:7" x14ac:dyDescent="0.25">
      <c r="A1267" s="1" t="s">
        <v>3169</v>
      </c>
      <c r="B1267" s="2">
        <v>77</v>
      </c>
      <c r="C1267" s="3" t="str">
        <f>"011615137"</f>
        <v>011615137</v>
      </c>
      <c r="D1267" s="3" t="s">
        <v>2604</v>
      </c>
      <c r="E1267" s="3"/>
      <c r="F1267" s="3" t="s">
        <v>2646</v>
      </c>
      <c r="G1267" s="3">
        <v>515.20000000000005</v>
      </c>
    </row>
    <row r="1268" spans="1:7" x14ac:dyDescent="0.25">
      <c r="A1268" s="1" t="s">
        <v>3169</v>
      </c>
      <c r="B1268" s="2">
        <v>77</v>
      </c>
      <c r="C1268" s="3" t="str">
        <f>"011615138"</f>
        <v>011615138</v>
      </c>
      <c r="D1268" s="3" t="s">
        <v>2604</v>
      </c>
      <c r="E1268" s="3" t="s">
        <v>2647</v>
      </c>
      <c r="F1268" s="3" t="s">
        <v>2648</v>
      </c>
      <c r="G1268" s="3">
        <v>515.20000000000005</v>
      </c>
    </row>
    <row r="1269" spans="1:7" x14ac:dyDescent="0.25">
      <c r="A1269" s="1" t="s">
        <v>3169</v>
      </c>
      <c r="B1269" s="2">
        <v>77</v>
      </c>
      <c r="C1269" s="3" t="str">
        <f>"011615139"</f>
        <v>011615139</v>
      </c>
      <c r="D1269" s="3" t="s">
        <v>2604</v>
      </c>
      <c r="E1269" s="3" t="s">
        <v>2649</v>
      </c>
      <c r="F1269" s="3" t="s">
        <v>2650</v>
      </c>
      <c r="G1269" s="3">
        <v>515.20000000000005</v>
      </c>
    </row>
    <row r="1270" spans="1:7" x14ac:dyDescent="0.25">
      <c r="A1270" s="1" t="s">
        <v>3169</v>
      </c>
      <c r="B1270" s="2">
        <v>77</v>
      </c>
      <c r="C1270" s="3" t="str">
        <f>"011615140"</f>
        <v>011615140</v>
      </c>
      <c r="D1270" s="3" t="s">
        <v>2604</v>
      </c>
      <c r="E1270" s="3" t="s">
        <v>2651</v>
      </c>
      <c r="F1270" s="3" t="s">
        <v>2652</v>
      </c>
      <c r="G1270" s="3">
        <v>515.20000000000005</v>
      </c>
    </row>
    <row r="1271" spans="1:7" x14ac:dyDescent="0.25">
      <c r="A1271" s="1" t="s">
        <v>3169</v>
      </c>
      <c r="B1271" s="2">
        <v>77</v>
      </c>
      <c r="C1271" s="3" t="str">
        <f>"011615141"</f>
        <v>011615141</v>
      </c>
      <c r="D1271" s="3" t="s">
        <v>2604</v>
      </c>
      <c r="E1271" s="3"/>
      <c r="F1271" s="3" t="s">
        <v>2653</v>
      </c>
      <c r="G1271" s="3">
        <v>515.17999999999995</v>
      </c>
    </row>
    <row r="1272" spans="1:7" x14ac:dyDescent="0.25">
      <c r="A1272" s="1" t="s">
        <v>3169</v>
      </c>
      <c r="B1272" s="2">
        <v>77</v>
      </c>
      <c r="C1272" s="3" t="str">
        <f>"011615142"</f>
        <v>011615142</v>
      </c>
      <c r="D1272" s="3" t="s">
        <v>2604</v>
      </c>
      <c r="E1272" s="3" t="s">
        <v>2654</v>
      </c>
      <c r="F1272" s="3" t="s">
        <v>2655</v>
      </c>
      <c r="G1272" s="3">
        <v>515.17999999999995</v>
      </c>
    </row>
    <row r="1273" spans="1:7" x14ac:dyDescent="0.25">
      <c r="A1273" s="1" t="s">
        <v>3169</v>
      </c>
      <c r="B1273" s="2">
        <v>77</v>
      </c>
      <c r="C1273" s="3" t="str">
        <f>"011615143"</f>
        <v>011615143</v>
      </c>
      <c r="D1273" s="3" t="s">
        <v>2604</v>
      </c>
      <c r="E1273" s="3" t="s">
        <v>2656</v>
      </c>
      <c r="F1273" s="3" t="s">
        <v>2657</v>
      </c>
      <c r="G1273" s="3">
        <v>515.17999999999995</v>
      </c>
    </row>
    <row r="1274" spans="1:7" x14ac:dyDescent="0.25">
      <c r="A1274" s="1" t="s">
        <v>3169</v>
      </c>
      <c r="B1274" s="2">
        <v>77</v>
      </c>
      <c r="C1274" s="3" t="str">
        <f>"011615144"</f>
        <v>011615144</v>
      </c>
      <c r="D1274" s="3" t="s">
        <v>2604</v>
      </c>
      <c r="E1274" s="3" t="s">
        <v>2658</v>
      </c>
      <c r="F1274" s="3" t="s">
        <v>2659</v>
      </c>
      <c r="G1274" s="3">
        <v>515.17999999999995</v>
      </c>
    </row>
    <row r="1275" spans="1:7" x14ac:dyDescent="0.25">
      <c r="A1275" s="1" t="s">
        <v>3169</v>
      </c>
      <c r="B1275" s="2">
        <v>77</v>
      </c>
      <c r="C1275" s="3" t="str">
        <f>"011615145"</f>
        <v>011615145</v>
      </c>
      <c r="D1275" s="3" t="s">
        <v>2604</v>
      </c>
      <c r="E1275" s="3" t="s">
        <v>2660</v>
      </c>
      <c r="F1275" s="3" t="s">
        <v>2661</v>
      </c>
      <c r="G1275" s="3">
        <v>515.17999999999995</v>
      </c>
    </row>
    <row r="1276" spans="1:7" x14ac:dyDescent="0.25">
      <c r="A1276" s="1" t="s">
        <v>3169</v>
      </c>
      <c r="B1276" s="2">
        <v>77</v>
      </c>
      <c r="C1276" s="3" t="str">
        <f>"011615146"</f>
        <v>011615146</v>
      </c>
      <c r="D1276" s="3" t="s">
        <v>2604</v>
      </c>
      <c r="E1276" s="3"/>
      <c r="F1276" s="3" t="s">
        <v>2662</v>
      </c>
      <c r="G1276" s="3">
        <v>515.17999999999995</v>
      </c>
    </row>
    <row r="1277" spans="1:7" x14ac:dyDescent="0.25">
      <c r="A1277" s="1" t="s">
        <v>3169</v>
      </c>
      <c r="B1277" s="2">
        <v>77</v>
      </c>
      <c r="C1277" s="3" t="str">
        <f>"011615147"</f>
        <v>011615147</v>
      </c>
      <c r="D1277" s="3" t="s">
        <v>2604</v>
      </c>
      <c r="E1277" s="3"/>
      <c r="F1277" s="3" t="s">
        <v>2663</v>
      </c>
      <c r="G1277" s="3">
        <v>515.17999999999995</v>
      </c>
    </row>
    <row r="1278" spans="1:7" x14ac:dyDescent="0.25">
      <c r="A1278" s="1" t="s">
        <v>3169</v>
      </c>
      <c r="B1278" s="2">
        <v>77</v>
      </c>
      <c r="C1278" s="3" t="str">
        <f>"011615148"</f>
        <v>011615148</v>
      </c>
      <c r="D1278" s="3" t="s">
        <v>2604</v>
      </c>
      <c r="E1278" s="3" t="s">
        <v>2664</v>
      </c>
      <c r="F1278" s="3" t="s">
        <v>2665</v>
      </c>
      <c r="G1278" s="3">
        <v>515.17999999999995</v>
      </c>
    </row>
    <row r="1279" spans="1:7" x14ac:dyDescent="0.25">
      <c r="A1279" s="1" t="s">
        <v>3169</v>
      </c>
      <c r="B1279" s="2">
        <v>77</v>
      </c>
      <c r="C1279" s="3" t="str">
        <f>"011615149"</f>
        <v>011615149</v>
      </c>
      <c r="D1279" s="3" t="s">
        <v>2604</v>
      </c>
      <c r="E1279" s="3" t="s">
        <v>2666</v>
      </c>
      <c r="F1279" s="3" t="s">
        <v>2667</v>
      </c>
      <c r="G1279" s="3">
        <v>515.17999999999995</v>
      </c>
    </row>
    <row r="1280" spans="1:7" x14ac:dyDescent="0.25">
      <c r="A1280" s="1" t="s">
        <v>3169</v>
      </c>
      <c r="B1280" s="2">
        <v>77</v>
      </c>
      <c r="C1280" s="3" t="str">
        <f>"011615150"</f>
        <v>011615150</v>
      </c>
      <c r="D1280" s="3" t="s">
        <v>2604</v>
      </c>
      <c r="E1280" s="3" t="s">
        <v>2668</v>
      </c>
      <c r="F1280" s="3" t="s">
        <v>2669</v>
      </c>
      <c r="G1280" s="3">
        <v>515.17999999999995</v>
      </c>
    </row>
    <row r="1281" spans="1:7" x14ac:dyDescent="0.25">
      <c r="A1281" s="1" t="s">
        <v>3169</v>
      </c>
      <c r="B1281" s="2">
        <v>77</v>
      </c>
      <c r="C1281" s="3" t="str">
        <f>"011615151"</f>
        <v>011615151</v>
      </c>
      <c r="D1281" s="3" t="s">
        <v>2604</v>
      </c>
      <c r="E1281" s="3"/>
      <c r="F1281" s="3" t="s">
        <v>2670</v>
      </c>
      <c r="G1281" s="3">
        <v>515.17999999999995</v>
      </c>
    </row>
    <row r="1282" spans="1:7" x14ac:dyDescent="0.25">
      <c r="A1282" s="1" t="s">
        <v>3169</v>
      </c>
      <c r="B1282" s="2">
        <v>77</v>
      </c>
      <c r="C1282" s="3" t="str">
        <f>"011615152"</f>
        <v>011615152</v>
      </c>
      <c r="D1282" s="3" t="s">
        <v>2604</v>
      </c>
      <c r="E1282" s="3"/>
      <c r="F1282" s="3" t="s">
        <v>2671</v>
      </c>
      <c r="G1282" s="3">
        <v>515.17999999999995</v>
      </c>
    </row>
    <row r="1283" spans="1:7" x14ac:dyDescent="0.25">
      <c r="A1283" s="1" t="s">
        <v>3169</v>
      </c>
      <c r="B1283" s="2">
        <v>77</v>
      </c>
      <c r="C1283" s="3" t="str">
        <f>"011615153"</f>
        <v>011615153</v>
      </c>
      <c r="D1283" s="3" t="s">
        <v>2604</v>
      </c>
      <c r="E1283" s="3" t="s">
        <v>2672</v>
      </c>
      <c r="F1283" s="3" t="s">
        <v>2673</v>
      </c>
      <c r="G1283" s="3">
        <v>515.17999999999995</v>
      </c>
    </row>
    <row r="1284" spans="1:7" x14ac:dyDescent="0.25">
      <c r="A1284" s="1" t="s">
        <v>3169</v>
      </c>
      <c r="B1284" s="2">
        <v>77</v>
      </c>
      <c r="C1284" s="3" t="str">
        <f>"011615154"</f>
        <v>011615154</v>
      </c>
      <c r="D1284" s="3" t="s">
        <v>2604</v>
      </c>
      <c r="E1284" s="3" t="s">
        <v>2674</v>
      </c>
      <c r="F1284" s="3" t="s">
        <v>2675</v>
      </c>
      <c r="G1284" s="3">
        <v>515.17999999999995</v>
      </c>
    </row>
    <row r="1285" spans="1:7" x14ac:dyDescent="0.25">
      <c r="A1285" s="1" t="s">
        <v>3169</v>
      </c>
      <c r="B1285" s="2">
        <v>77</v>
      </c>
      <c r="C1285" s="3" t="str">
        <f>"011615155"</f>
        <v>011615155</v>
      </c>
      <c r="D1285" s="3" t="s">
        <v>2604</v>
      </c>
      <c r="E1285" s="3" t="s">
        <v>2676</v>
      </c>
      <c r="F1285" s="3" t="s">
        <v>2677</v>
      </c>
      <c r="G1285" s="3">
        <v>515.17999999999995</v>
      </c>
    </row>
    <row r="1286" spans="1:7" x14ac:dyDescent="0.25">
      <c r="A1286" s="1" t="s">
        <v>3169</v>
      </c>
      <c r="B1286" s="2">
        <v>77</v>
      </c>
      <c r="C1286" s="3" t="str">
        <f>"011615156"</f>
        <v>011615156</v>
      </c>
      <c r="D1286" s="3" t="s">
        <v>2604</v>
      </c>
      <c r="E1286" s="3" t="s">
        <v>2678</v>
      </c>
      <c r="F1286" s="3" t="s">
        <v>2679</v>
      </c>
      <c r="G1286" s="3">
        <v>515.17999999999995</v>
      </c>
    </row>
    <row r="1287" spans="1:7" x14ac:dyDescent="0.25">
      <c r="A1287" s="1" t="s">
        <v>3169</v>
      </c>
      <c r="B1287" s="2">
        <v>77</v>
      </c>
      <c r="C1287" s="3" t="str">
        <f>"011615157"</f>
        <v>011615157</v>
      </c>
      <c r="D1287" s="3" t="s">
        <v>2604</v>
      </c>
      <c r="E1287" s="3" t="s">
        <v>2680</v>
      </c>
      <c r="F1287" s="3" t="s">
        <v>2681</v>
      </c>
      <c r="G1287" s="3">
        <v>515.17999999999995</v>
      </c>
    </row>
    <row r="1288" spans="1:7" x14ac:dyDescent="0.25">
      <c r="A1288" s="1" t="s">
        <v>3169</v>
      </c>
      <c r="B1288" s="2">
        <v>77</v>
      </c>
      <c r="C1288" s="3" t="str">
        <f>"011615158"</f>
        <v>011615158</v>
      </c>
      <c r="D1288" s="3" t="s">
        <v>2604</v>
      </c>
      <c r="E1288" s="3" t="s">
        <v>2682</v>
      </c>
      <c r="F1288" s="3" t="s">
        <v>2683</v>
      </c>
      <c r="G1288" s="3">
        <v>515.17999999999995</v>
      </c>
    </row>
    <row r="1289" spans="1:7" x14ac:dyDescent="0.25">
      <c r="A1289" s="1" t="s">
        <v>3169</v>
      </c>
      <c r="B1289" s="2">
        <v>77</v>
      </c>
      <c r="C1289" s="3" t="str">
        <f>"011615159"</f>
        <v>011615159</v>
      </c>
      <c r="D1289" s="3" t="s">
        <v>2604</v>
      </c>
      <c r="E1289" s="3" t="s">
        <v>2684</v>
      </c>
      <c r="F1289" s="3" t="s">
        <v>2685</v>
      </c>
      <c r="G1289" s="3">
        <v>515.17999999999995</v>
      </c>
    </row>
    <row r="1290" spans="1:7" x14ac:dyDescent="0.25">
      <c r="A1290" s="1" t="s">
        <v>3169</v>
      </c>
      <c r="B1290" s="2">
        <v>77</v>
      </c>
      <c r="C1290" s="3" t="str">
        <f>"011615160"</f>
        <v>011615160</v>
      </c>
      <c r="D1290" s="3" t="s">
        <v>2604</v>
      </c>
      <c r="E1290" s="3" t="s">
        <v>2686</v>
      </c>
      <c r="F1290" s="3" t="s">
        <v>2687</v>
      </c>
      <c r="G1290" s="3">
        <v>515.17999999999995</v>
      </c>
    </row>
    <row r="1291" spans="1:7" x14ac:dyDescent="0.25">
      <c r="A1291" s="1" t="s">
        <v>3169</v>
      </c>
      <c r="B1291" s="2">
        <v>77</v>
      </c>
      <c r="C1291" s="3" t="str">
        <f>"011615161"</f>
        <v>011615161</v>
      </c>
      <c r="D1291" s="3" t="s">
        <v>2604</v>
      </c>
      <c r="E1291" s="3" t="s">
        <v>2688</v>
      </c>
      <c r="F1291" s="3" t="s">
        <v>2689</v>
      </c>
      <c r="G1291" s="3">
        <v>515.17999999999995</v>
      </c>
    </row>
    <row r="1292" spans="1:7" x14ac:dyDescent="0.25">
      <c r="A1292" s="1" t="s">
        <v>3169</v>
      </c>
      <c r="B1292" s="2">
        <v>77</v>
      </c>
      <c r="C1292" s="3" t="str">
        <f>"011615162"</f>
        <v>011615162</v>
      </c>
      <c r="D1292" s="3" t="s">
        <v>2604</v>
      </c>
      <c r="E1292" s="3" t="s">
        <v>2690</v>
      </c>
      <c r="F1292" s="3" t="s">
        <v>2691</v>
      </c>
      <c r="G1292" s="3">
        <v>515.17999999999995</v>
      </c>
    </row>
    <row r="1293" spans="1:7" x14ac:dyDescent="0.25">
      <c r="A1293" s="1" t="s">
        <v>3169</v>
      </c>
      <c r="B1293" s="2">
        <v>77</v>
      </c>
      <c r="C1293" s="3" t="str">
        <f>"011615163"</f>
        <v>011615163</v>
      </c>
      <c r="D1293" s="3" t="s">
        <v>2604</v>
      </c>
      <c r="E1293" s="3" t="s">
        <v>2692</v>
      </c>
      <c r="F1293" s="3" t="s">
        <v>2693</v>
      </c>
      <c r="G1293" s="3">
        <v>515.17999999999995</v>
      </c>
    </row>
    <row r="1294" spans="1:7" x14ac:dyDescent="0.25">
      <c r="A1294" s="1" t="s">
        <v>3169</v>
      </c>
      <c r="B1294" s="2">
        <v>77</v>
      </c>
      <c r="C1294" s="3" t="str">
        <f>"011615164"</f>
        <v>011615164</v>
      </c>
      <c r="D1294" s="3" t="s">
        <v>2604</v>
      </c>
      <c r="E1294" s="3" t="s">
        <v>2694</v>
      </c>
      <c r="F1294" s="3" t="s">
        <v>2695</v>
      </c>
      <c r="G1294" s="3">
        <v>515.17999999999995</v>
      </c>
    </row>
    <row r="1295" spans="1:7" x14ac:dyDescent="0.25">
      <c r="A1295" s="1" t="s">
        <v>3169</v>
      </c>
      <c r="B1295" s="2">
        <v>77</v>
      </c>
      <c r="C1295" s="3" t="str">
        <f>"011615165"</f>
        <v>011615165</v>
      </c>
      <c r="D1295" s="3" t="s">
        <v>2604</v>
      </c>
      <c r="E1295" s="3" t="s">
        <v>2696</v>
      </c>
      <c r="F1295" s="3" t="s">
        <v>2697</v>
      </c>
      <c r="G1295" s="3">
        <v>515.17999999999995</v>
      </c>
    </row>
    <row r="1296" spans="1:7" x14ac:dyDescent="0.25">
      <c r="A1296" s="1" t="s">
        <v>3169</v>
      </c>
      <c r="B1296" s="2">
        <v>77</v>
      </c>
      <c r="C1296" s="3" t="str">
        <f>"011615166"</f>
        <v>011615166</v>
      </c>
      <c r="D1296" s="3" t="s">
        <v>2604</v>
      </c>
      <c r="E1296" s="3" t="s">
        <v>2698</v>
      </c>
      <c r="F1296" s="3" t="s">
        <v>2699</v>
      </c>
      <c r="G1296" s="3">
        <v>515.17999999999995</v>
      </c>
    </row>
    <row r="1297" spans="1:7" x14ac:dyDescent="0.25">
      <c r="A1297" s="1" t="s">
        <v>3169</v>
      </c>
      <c r="B1297" s="2">
        <v>77</v>
      </c>
      <c r="C1297" s="3" t="str">
        <f>"011615167"</f>
        <v>011615167</v>
      </c>
      <c r="D1297" s="3" t="s">
        <v>2604</v>
      </c>
      <c r="E1297" s="3" t="s">
        <v>2700</v>
      </c>
      <c r="F1297" s="3" t="s">
        <v>2701</v>
      </c>
      <c r="G1297" s="3">
        <v>515.17999999999995</v>
      </c>
    </row>
    <row r="1298" spans="1:7" x14ac:dyDescent="0.25">
      <c r="A1298" s="1" t="s">
        <v>3169</v>
      </c>
      <c r="B1298" s="2">
        <v>77</v>
      </c>
      <c r="C1298" s="3" t="str">
        <f>"011615168"</f>
        <v>011615168</v>
      </c>
      <c r="D1298" s="3" t="s">
        <v>2604</v>
      </c>
      <c r="E1298" s="3" t="s">
        <v>2702</v>
      </c>
      <c r="F1298" s="3" t="s">
        <v>2703</v>
      </c>
      <c r="G1298" s="3">
        <v>515.17999999999995</v>
      </c>
    </row>
    <row r="1299" spans="1:7" x14ac:dyDescent="0.25">
      <c r="A1299" s="1" t="s">
        <v>3169</v>
      </c>
      <c r="B1299" s="2">
        <v>77</v>
      </c>
      <c r="C1299" s="3" t="str">
        <f>"011615169"</f>
        <v>011615169</v>
      </c>
      <c r="D1299" s="3" t="s">
        <v>2604</v>
      </c>
      <c r="E1299" s="3"/>
      <c r="F1299" s="3" t="s">
        <v>2704</v>
      </c>
      <c r="G1299" s="3">
        <v>515.17999999999995</v>
      </c>
    </row>
    <row r="1300" spans="1:7" x14ac:dyDescent="0.25">
      <c r="A1300" s="1" t="s">
        <v>3169</v>
      </c>
      <c r="B1300" s="2">
        <v>77</v>
      </c>
      <c r="C1300" s="3" t="str">
        <f>"011615170"</f>
        <v>011615170</v>
      </c>
      <c r="D1300" s="3" t="s">
        <v>2604</v>
      </c>
      <c r="E1300" s="3" t="s">
        <v>2705</v>
      </c>
      <c r="F1300" s="3" t="s">
        <v>2706</v>
      </c>
      <c r="G1300" s="3">
        <v>515.17999999999995</v>
      </c>
    </row>
    <row r="1301" spans="1:7" x14ac:dyDescent="0.25">
      <c r="A1301" s="1" t="s">
        <v>3169</v>
      </c>
      <c r="B1301" s="2">
        <v>77</v>
      </c>
      <c r="C1301" s="3" t="str">
        <f>"011615171"</f>
        <v>011615171</v>
      </c>
      <c r="D1301" s="3" t="s">
        <v>2604</v>
      </c>
      <c r="E1301" s="3" t="s">
        <v>2707</v>
      </c>
      <c r="F1301" s="3" t="s">
        <v>2708</v>
      </c>
      <c r="G1301" s="3">
        <v>515.17999999999995</v>
      </c>
    </row>
    <row r="1302" spans="1:7" x14ac:dyDescent="0.25">
      <c r="A1302" s="1" t="s">
        <v>3169</v>
      </c>
      <c r="B1302" s="2">
        <v>77</v>
      </c>
      <c r="C1302" s="3" t="str">
        <f>"011615172"</f>
        <v>011615172</v>
      </c>
      <c r="D1302" s="3" t="s">
        <v>2604</v>
      </c>
      <c r="E1302" s="3" t="s">
        <v>2709</v>
      </c>
      <c r="F1302" s="3" t="s">
        <v>2710</v>
      </c>
      <c r="G1302" s="3">
        <v>515.17999999999995</v>
      </c>
    </row>
    <row r="1303" spans="1:7" x14ac:dyDescent="0.25">
      <c r="A1303" s="1" t="s">
        <v>3169</v>
      </c>
      <c r="B1303" s="2">
        <v>77</v>
      </c>
      <c r="C1303" s="3" t="str">
        <f>"011615173"</f>
        <v>011615173</v>
      </c>
      <c r="D1303" s="3" t="s">
        <v>2604</v>
      </c>
      <c r="E1303" s="3" t="s">
        <v>2711</v>
      </c>
      <c r="F1303" s="3" t="s">
        <v>2712</v>
      </c>
      <c r="G1303" s="3">
        <v>515.17999999999995</v>
      </c>
    </row>
    <row r="1304" spans="1:7" x14ac:dyDescent="0.25">
      <c r="A1304" s="1" t="s">
        <v>3169</v>
      </c>
      <c r="B1304" s="2">
        <v>77</v>
      </c>
      <c r="C1304" s="3" t="str">
        <f>"011615174"</f>
        <v>011615174</v>
      </c>
      <c r="D1304" s="3" t="s">
        <v>2604</v>
      </c>
      <c r="E1304" s="3" t="s">
        <v>2713</v>
      </c>
      <c r="F1304" s="3" t="s">
        <v>2714</v>
      </c>
      <c r="G1304" s="3">
        <v>515.17999999999995</v>
      </c>
    </row>
    <row r="1305" spans="1:7" x14ac:dyDescent="0.25">
      <c r="A1305" s="1" t="s">
        <v>3169</v>
      </c>
      <c r="B1305" s="2">
        <v>77</v>
      </c>
      <c r="C1305" s="3" t="str">
        <f>"011615175"</f>
        <v>011615175</v>
      </c>
      <c r="D1305" s="3" t="s">
        <v>2604</v>
      </c>
      <c r="E1305" s="3" t="s">
        <v>2715</v>
      </c>
      <c r="F1305" s="3" t="s">
        <v>2716</v>
      </c>
      <c r="G1305" s="3">
        <v>515.17999999999995</v>
      </c>
    </row>
    <row r="1306" spans="1:7" x14ac:dyDescent="0.25">
      <c r="A1306" s="1" t="s">
        <v>3169</v>
      </c>
      <c r="B1306" s="2">
        <v>77</v>
      </c>
      <c r="C1306" s="3" t="str">
        <f>"011615176"</f>
        <v>011615176</v>
      </c>
      <c r="D1306" s="3" t="s">
        <v>2604</v>
      </c>
      <c r="E1306" s="3" t="s">
        <v>2717</v>
      </c>
      <c r="F1306" s="3" t="s">
        <v>2718</v>
      </c>
      <c r="G1306" s="3">
        <v>515.17999999999995</v>
      </c>
    </row>
    <row r="1307" spans="1:7" x14ac:dyDescent="0.25">
      <c r="A1307" s="1" t="s">
        <v>3169</v>
      </c>
      <c r="B1307" s="2">
        <v>77</v>
      </c>
      <c r="C1307" s="3" t="str">
        <f>"011615177"</f>
        <v>011615177</v>
      </c>
      <c r="D1307" s="3" t="s">
        <v>2604</v>
      </c>
      <c r="E1307" s="3" t="s">
        <v>2719</v>
      </c>
      <c r="F1307" s="3" t="s">
        <v>2720</v>
      </c>
      <c r="G1307" s="3">
        <v>515.17999999999995</v>
      </c>
    </row>
    <row r="1308" spans="1:7" x14ac:dyDescent="0.25">
      <c r="A1308" s="1" t="s">
        <v>3169</v>
      </c>
      <c r="B1308" s="2">
        <v>77</v>
      </c>
      <c r="C1308" s="3" t="str">
        <f>"011615178"</f>
        <v>011615178</v>
      </c>
      <c r="D1308" s="3" t="s">
        <v>2604</v>
      </c>
      <c r="E1308" s="3" t="s">
        <v>2721</v>
      </c>
      <c r="F1308" s="3" t="s">
        <v>2722</v>
      </c>
      <c r="G1308" s="3">
        <v>515.17999999999995</v>
      </c>
    </row>
    <row r="1309" spans="1:7" x14ac:dyDescent="0.25">
      <c r="A1309" s="1" t="s">
        <v>3169</v>
      </c>
      <c r="B1309" s="2">
        <v>77</v>
      </c>
      <c r="C1309" s="3" t="str">
        <f>"011615179"</f>
        <v>011615179</v>
      </c>
      <c r="D1309" s="3" t="s">
        <v>2604</v>
      </c>
      <c r="E1309" s="3" t="s">
        <v>2723</v>
      </c>
      <c r="F1309" s="3" t="s">
        <v>2724</v>
      </c>
      <c r="G1309" s="3">
        <v>515.17999999999995</v>
      </c>
    </row>
    <row r="1310" spans="1:7" x14ac:dyDescent="0.25">
      <c r="A1310" s="1" t="s">
        <v>3169</v>
      </c>
      <c r="B1310" s="2">
        <v>77</v>
      </c>
      <c r="C1310" s="3" t="str">
        <f>"011615180"</f>
        <v>011615180</v>
      </c>
      <c r="D1310" s="3" t="s">
        <v>2604</v>
      </c>
      <c r="E1310" s="3" t="s">
        <v>2725</v>
      </c>
      <c r="F1310" s="3" t="s">
        <v>2726</v>
      </c>
      <c r="G1310" s="3">
        <v>515.17999999999995</v>
      </c>
    </row>
    <row r="1311" spans="1:7" x14ac:dyDescent="0.25">
      <c r="A1311" s="1" t="s">
        <v>3169</v>
      </c>
      <c r="B1311" s="2">
        <v>77</v>
      </c>
      <c r="C1311" s="3" t="str">
        <f>"011615181"</f>
        <v>011615181</v>
      </c>
      <c r="D1311" s="3" t="s">
        <v>2604</v>
      </c>
      <c r="E1311" s="3" t="s">
        <v>2727</v>
      </c>
      <c r="F1311" s="3" t="s">
        <v>2728</v>
      </c>
      <c r="G1311" s="3">
        <v>515.17999999999995</v>
      </c>
    </row>
    <row r="1312" spans="1:7" x14ac:dyDescent="0.25">
      <c r="A1312" s="1" t="s">
        <v>3169</v>
      </c>
      <c r="B1312" s="2">
        <v>77</v>
      </c>
      <c r="C1312" s="3" t="str">
        <f>"011615182"</f>
        <v>011615182</v>
      </c>
      <c r="D1312" s="3" t="s">
        <v>2604</v>
      </c>
      <c r="E1312" s="3"/>
      <c r="F1312" s="3" t="s">
        <v>2729</v>
      </c>
      <c r="G1312" s="3">
        <v>515.17999999999995</v>
      </c>
    </row>
    <row r="1313" spans="1:7" x14ac:dyDescent="0.25">
      <c r="A1313" s="1" t="s">
        <v>3169</v>
      </c>
      <c r="B1313" s="2">
        <v>77</v>
      </c>
      <c r="C1313" s="3" t="str">
        <f>"011615183"</f>
        <v>011615183</v>
      </c>
      <c r="D1313" s="3" t="s">
        <v>2604</v>
      </c>
      <c r="E1313" s="3" t="s">
        <v>2730</v>
      </c>
      <c r="F1313" s="3" t="s">
        <v>2731</v>
      </c>
      <c r="G1313" s="3">
        <v>515.17999999999995</v>
      </c>
    </row>
    <row r="1314" spans="1:7" x14ac:dyDescent="0.25">
      <c r="A1314" s="1" t="s">
        <v>3169</v>
      </c>
      <c r="B1314" s="2">
        <v>77</v>
      </c>
      <c r="C1314" s="3" t="str">
        <f>"011615184"</f>
        <v>011615184</v>
      </c>
      <c r="D1314" s="3" t="s">
        <v>2604</v>
      </c>
      <c r="E1314" s="3" t="s">
        <v>2732</v>
      </c>
      <c r="F1314" s="3" t="s">
        <v>2733</v>
      </c>
      <c r="G1314" s="3">
        <v>515.17999999999995</v>
      </c>
    </row>
    <row r="1315" spans="1:7" x14ac:dyDescent="0.25">
      <c r="A1315" s="1" t="s">
        <v>3169</v>
      </c>
      <c r="B1315" s="2">
        <v>77</v>
      </c>
      <c r="C1315" s="3" t="str">
        <f>"011615185"</f>
        <v>011615185</v>
      </c>
      <c r="D1315" s="3" t="s">
        <v>2604</v>
      </c>
      <c r="E1315" s="3"/>
      <c r="F1315" s="3" t="s">
        <v>2734</v>
      </c>
      <c r="G1315" s="3">
        <v>515.17999999999995</v>
      </c>
    </row>
    <row r="1316" spans="1:7" x14ac:dyDescent="0.25">
      <c r="A1316" s="1" t="s">
        <v>3169</v>
      </c>
      <c r="B1316" s="2">
        <v>77</v>
      </c>
      <c r="C1316" s="3" t="str">
        <f>"011615186"</f>
        <v>011615186</v>
      </c>
      <c r="D1316" s="3" t="s">
        <v>2604</v>
      </c>
      <c r="E1316" s="3" t="s">
        <v>2735</v>
      </c>
      <c r="F1316" s="3" t="s">
        <v>2736</v>
      </c>
      <c r="G1316" s="3">
        <v>515.17999999999995</v>
      </c>
    </row>
    <row r="1317" spans="1:7" x14ac:dyDescent="0.25">
      <c r="A1317" s="1" t="s">
        <v>3169</v>
      </c>
      <c r="B1317" s="2">
        <v>77</v>
      </c>
      <c r="C1317" s="3" t="str">
        <f>"011615187"</f>
        <v>011615187</v>
      </c>
      <c r="D1317" s="3" t="s">
        <v>2604</v>
      </c>
      <c r="E1317" s="3" t="s">
        <v>2737</v>
      </c>
      <c r="F1317" s="3" t="s">
        <v>2738</v>
      </c>
      <c r="G1317" s="3">
        <v>515.17999999999995</v>
      </c>
    </row>
    <row r="1318" spans="1:7" x14ac:dyDescent="0.25">
      <c r="A1318" s="1" t="s">
        <v>3169</v>
      </c>
      <c r="B1318" s="2">
        <v>77</v>
      </c>
      <c r="C1318" s="3" t="str">
        <f>"011615188"</f>
        <v>011615188</v>
      </c>
      <c r="D1318" s="3" t="s">
        <v>2604</v>
      </c>
      <c r="E1318" s="3" t="s">
        <v>2739</v>
      </c>
      <c r="F1318" s="3" t="s">
        <v>2740</v>
      </c>
      <c r="G1318" s="3">
        <v>515.17999999999995</v>
      </c>
    </row>
    <row r="1319" spans="1:7" x14ac:dyDescent="0.25">
      <c r="A1319" s="1" t="s">
        <v>3169</v>
      </c>
      <c r="B1319" s="2">
        <v>77</v>
      </c>
      <c r="C1319" s="3" t="str">
        <f>"011615189"</f>
        <v>011615189</v>
      </c>
      <c r="D1319" s="3" t="s">
        <v>2604</v>
      </c>
      <c r="E1319" s="3" t="s">
        <v>2741</v>
      </c>
      <c r="F1319" s="3" t="s">
        <v>2742</v>
      </c>
      <c r="G1319" s="3">
        <v>515.17999999999995</v>
      </c>
    </row>
    <row r="1320" spans="1:7" x14ac:dyDescent="0.25">
      <c r="A1320" s="1" t="s">
        <v>3169</v>
      </c>
      <c r="B1320" s="2">
        <v>77</v>
      </c>
      <c r="C1320" s="3" t="str">
        <f>"011615190"</f>
        <v>011615190</v>
      </c>
      <c r="D1320" s="3" t="s">
        <v>2604</v>
      </c>
      <c r="E1320" s="3" t="s">
        <v>2743</v>
      </c>
      <c r="F1320" s="3" t="s">
        <v>2744</v>
      </c>
      <c r="G1320" s="3">
        <v>515.17999999999995</v>
      </c>
    </row>
    <row r="1321" spans="1:7" x14ac:dyDescent="0.25">
      <c r="A1321" s="1" t="s">
        <v>3169</v>
      </c>
      <c r="B1321" s="2">
        <v>77</v>
      </c>
      <c r="C1321" s="3" t="str">
        <f>"011615191"</f>
        <v>011615191</v>
      </c>
      <c r="D1321" s="3" t="s">
        <v>2604</v>
      </c>
      <c r="E1321" s="3" t="s">
        <v>2745</v>
      </c>
      <c r="F1321" s="3" t="s">
        <v>2746</v>
      </c>
      <c r="G1321" s="3">
        <v>515.17999999999995</v>
      </c>
    </row>
    <row r="1322" spans="1:7" x14ac:dyDescent="0.25">
      <c r="A1322" s="1" t="s">
        <v>3169</v>
      </c>
      <c r="B1322" s="2">
        <v>77</v>
      </c>
      <c r="C1322" s="3" t="str">
        <f>"011615192"</f>
        <v>011615192</v>
      </c>
      <c r="D1322" s="3" t="s">
        <v>2604</v>
      </c>
      <c r="E1322" s="3" t="s">
        <v>2747</v>
      </c>
      <c r="F1322" s="3" t="s">
        <v>2748</v>
      </c>
      <c r="G1322" s="3">
        <v>515.17999999999995</v>
      </c>
    </row>
    <row r="1323" spans="1:7" x14ac:dyDescent="0.25">
      <c r="A1323" s="1" t="s">
        <v>3169</v>
      </c>
      <c r="B1323" s="2">
        <v>77</v>
      </c>
      <c r="C1323" s="3" t="str">
        <f>"011615193"</f>
        <v>011615193</v>
      </c>
      <c r="D1323" s="3" t="s">
        <v>2604</v>
      </c>
      <c r="E1323" s="3" t="s">
        <v>2749</v>
      </c>
      <c r="F1323" s="3" t="s">
        <v>2750</v>
      </c>
      <c r="G1323" s="3">
        <v>515.17999999999995</v>
      </c>
    </row>
    <row r="1324" spans="1:7" x14ac:dyDescent="0.25">
      <c r="A1324" s="1" t="s">
        <v>3169</v>
      </c>
      <c r="B1324" s="2">
        <v>77</v>
      </c>
      <c r="C1324" s="3" t="str">
        <f>"011615194"</f>
        <v>011615194</v>
      </c>
      <c r="D1324" s="3" t="s">
        <v>2604</v>
      </c>
      <c r="E1324" s="3" t="s">
        <v>2751</v>
      </c>
      <c r="F1324" s="3" t="s">
        <v>2752</v>
      </c>
      <c r="G1324" s="3">
        <v>515.17999999999995</v>
      </c>
    </row>
    <row r="1325" spans="1:7" x14ac:dyDescent="0.25">
      <c r="A1325" s="1" t="s">
        <v>3169</v>
      </c>
      <c r="B1325" s="2">
        <v>77</v>
      </c>
      <c r="C1325" s="3" t="str">
        <f>"011615195"</f>
        <v>011615195</v>
      </c>
      <c r="D1325" s="3" t="s">
        <v>2604</v>
      </c>
      <c r="E1325" s="3" t="s">
        <v>2753</v>
      </c>
      <c r="F1325" s="3" t="s">
        <v>2754</v>
      </c>
      <c r="G1325" s="3">
        <v>515.17999999999995</v>
      </c>
    </row>
    <row r="1326" spans="1:7" x14ac:dyDescent="0.25">
      <c r="A1326" s="1" t="s">
        <v>3169</v>
      </c>
      <c r="B1326" s="2">
        <v>77</v>
      </c>
      <c r="C1326" s="3" t="str">
        <f>"011615196"</f>
        <v>011615196</v>
      </c>
      <c r="D1326" s="3" t="s">
        <v>2604</v>
      </c>
      <c r="E1326" s="3" t="s">
        <v>2755</v>
      </c>
      <c r="F1326" s="3" t="s">
        <v>2756</v>
      </c>
      <c r="G1326" s="3">
        <v>515.17999999999995</v>
      </c>
    </row>
    <row r="1327" spans="1:7" x14ac:dyDescent="0.25">
      <c r="A1327" s="1" t="s">
        <v>3169</v>
      </c>
      <c r="B1327" s="2">
        <v>77</v>
      </c>
      <c r="C1327" s="3" t="str">
        <f>"011615197"</f>
        <v>011615197</v>
      </c>
      <c r="D1327" s="3" t="s">
        <v>2604</v>
      </c>
      <c r="E1327" s="3"/>
      <c r="F1327" s="3" t="s">
        <v>2757</v>
      </c>
      <c r="G1327" s="3">
        <v>515.17999999999995</v>
      </c>
    </row>
    <row r="1328" spans="1:7" x14ac:dyDescent="0.25">
      <c r="A1328" s="1" t="s">
        <v>3169</v>
      </c>
      <c r="B1328" s="2">
        <v>77</v>
      </c>
      <c r="C1328" s="3" t="str">
        <f>"011615198"</f>
        <v>011615198</v>
      </c>
      <c r="D1328" s="3" t="s">
        <v>2604</v>
      </c>
      <c r="E1328" s="3"/>
      <c r="F1328" s="3" t="s">
        <v>2758</v>
      </c>
      <c r="G1328" s="3">
        <v>515.17999999999995</v>
      </c>
    </row>
    <row r="1329" spans="1:7" x14ac:dyDescent="0.25">
      <c r="A1329" s="1" t="s">
        <v>3169</v>
      </c>
      <c r="B1329" s="2">
        <v>77</v>
      </c>
      <c r="C1329" s="3" t="str">
        <f>"011615199"</f>
        <v>011615199</v>
      </c>
      <c r="D1329" s="3" t="s">
        <v>2604</v>
      </c>
      <c r="E1329" s="3" t="s">
        <v>2759</v>
      </c>
      <c r="F1329" s="3" t="s">
        <v>2760</v>
      </c>
      <c r="G1329" s="3">
        <v>515.17999999999995</v>
      </c>
    </row>
    <row r="1330" spans="1:7" x14ac:dyDescent="0.25">
      <c r="A1330" s="1" t="s">
        <v>3169</v>
      </c>
      <c r="B1330" s="2">
        <v>77</v>
      </c>
      <c r="C1330" s="3" t="str">
        <f>"011615200"</f>
        <v>011615200</v>
      </c>
      <c r="D1330" s="3" t="s">
        <v>2604</v>
      </c>
      <c r="E1330" s="3" t="s">
        <v>2761</v>
      </c>
      <c r="F1330" s="3" t="s">
        <v>2762</v>
      </c>
      <c r="G1330" s="3">
        <v>515.17999999999995</v>
      </c>
    </row>
    <row r="1331" spans="1:7" x14ac:dyDescent="0.25">
      <c r="A1331" s="1" t="s">
        <v>3169</v>
      </c>
      <c r="B1331" s="2">
        <v>77</v>
      </c>
      <c r="C1331" s="3" t="str">
        <f>"011615201"</f>
        <v>011615201</v>
      </c>
      <c r="D1331" s="3" t="s">
        <v>2604</v>
      </c>
      <c r="E1331" s="3" t="s">
        <v>2763</v>
      </c>
      <c r="F1331" s="3" t="s">
        <v>2764</v>
      </c>
      <c r="G1331" s="3">
        <v>515.17999999999995</v>
      </c>
    </row>
    <row r="1332" spans="1:7" x14ac:dyDescent="0.25">
      <c r="A1332" s="1" t="s">
        <v>3169</v>
      </c>
      <c r="B1332" s="2">
        <v>77</v>
      </c>
      <c r="C1332" s="3" t="str">
        <f>"011615202"</f>
        <v>011615202</v>
      </c>
      <c r="D1332" s="3" t="s">
        <v>2604</v>
      </c>
      <c r="E1332" s="3" t="s">
        <v>2765</v>
      </c>
      <c r="F1332" s="3" t="s">
        <v>2766</v>
      </c>
      <c r="G1332" s="3">
        <v>515.17999999999995</v>
      </c>
    </row>
    <row r="1333" spans="1:7" x14ac:dyDescent="0.25">
      <c r="A1333" s="1" t="s">
        <v>3169</v>
      </c>
      <c r="B1333" s="2">
        <v>77</v>
      </c>
      <c r="C1333" s="3" t="str">
        <f>"011615203"</f>
        <v>011615203</v>
      </c>
      <c r="D1333" s="3" t="s">
        <v>2604</v>
      </c>
      <c r="E1333" s="3" t="s">
        <v>2767</v>
      </c>
      <c r="F1333" s="3" t="s">
        <v>2768</v>
      </c>
      <c r="G1333" s="3">
        <v>515.17999999999995</v>
      </c>
    </row>
    <row r="1334" spans="1:7" x14ac:dyDescent="0.25">
      <c r="A1334" s="1" t="s">
        <v>3169</v>
      </c>
      <c r="B1334" s="2">
        <v>77</v>
      </c>
      <c r="C1334" s="3" t="str">
        <f>"011615204"</f>
        <v>011615204</v>
      </c>
      <c r="D1334" s="3" t="s">
        <v>2604</v>
      </c>
      <c r="E1334" s="3" t="s">
        <v>2769</v>
      </c>
      <c r="F1334" s="3" t="s">
        <v>2770</v>
      </c>
      <c r="G1334" s="3">
        <v>515.17999999999995</v>
      </c>
    </row>
    <row r="1335" spans="1:7" x14ac:dyDescent="0.25">
      <c r="A1335" s="1" t="s">
        <v>3169</v>
      </c>
      <c r="B1335" s="2">
        <v>77</v>
      </c>
      <c r="C1335" s="3" t="str">
        <f>"011615205"</f>
        <v>011615205</v>
      </c>
      <c r="D1335" s="3" t="s">
        <v>2604</v>
      </c>
      <c r="E1335" s="3" t="s">
        <v>2771</v>
      </c>
      <c r="F1335" s="3" t="s">
        <v>2772</v>
      </c>
      <c r="G1335" s="3">
        <v>515.17999999999995</v>
      </c>
    </row>
    <row r="1336" spans="1:7" x14ac:dyDescent="0.25">
      <c r="A1336" s="1" t="s">
        <v>3169</v>
      </c>
      <c r="B1336" s="2">
        <v>77</v>
      </c>
      <c r="C1336" s="3" t="str">
        <f>"011615206"</f>
        <v>011615206</v>
      </c>
      <c r="D1336" s="3" t="s">
        <v>2604</v>
      </c>
      <c r="E1336" s="3" t="s">
        <v>2773</v>
      </c>
      <c r="F1336" s="3" t="s">
        <v>2774</v>
      </c>
      <c r="G1336" s="3">
        <v>515.17999999999995</v>
      </c>
    </row>
    <row r="1337" spans="1:7" x14ac:dyDescent="0.25">
      <c r="A1337" s="1" t="s">
        <v>3169</v>
      </c>
      <c r="B1337" s="2">
        <v>77</v>
      </c>
      <c r="C1337" s="3" t="str">
        <f>"011615207"</f>
        <v>011615207</v>
      </c>
      <c r="D1337" s="3" t="s">
        <v>2604</v>
      </c>
      <c r="E1337" s="3" t="s">
        <v>2775</v>
      </c>
      <c r="F1337" s="3" t="s">
        <v>2776</v>
      </c>
      <c r="G1337" s="3">
        <v>515.17999999999995</v>
      </c>
    </row>
    <row r="1338" spans="1:7" x14ac:dyDescent="0.25">
      <c r="A1338" s="1" t="s">
        <v>3169</v>
      </c>
      <c r="B1338" s="2">
        <v>77</v>
      </c>
      <c r="C1338" s="3" t="str">
        <f>"011615208"</f>
        <v>011615208</v>
      </c>
      <c r="D1338" s="3" t="s">
        <v>2604</v>
      </c>
      <c r="E1338" s="3" t="s">
        <v>2777</v>
      </c>
      <c r="F1338" s="3" t="s">
        <v>2778</v>
      </c>
      <c r="G1338" s="3">
        <v>515.17999999999995</v>
      </c>
    </row>
    <row r="1339" spans="1:7" x14ac:dyDescent="0.25">
      <c r="A1339" s="1" t="s">
        <v>3169</v>
      </c>
      <c r="B1339" s="2">
        <v>77</v>
      </c>
      <c r="C1339" s="3" t="str">
        <f>"011615209"</f>
        <v>011615209</v>
      </c>
      <c r="D1339" s="3" t="s">
        <v>2604</v>
      </c>
      <c r="E1339" s="3" t="s">
        <v>2779</v>
      </c>
      <c r="F1339" s="3" t="s">
        <v>2780</v>
      </c>
      <c r="G1339" s="3">
        <v>515.17999999999995</v>
      </c>
    </row>
    <row r="1340" spans="1:7" x14ac:dyDescent="0.25">
      <c r="A1340" s="1" t="s">
        <v>3169</v>
      </c>
      <c r="B1340" s="2">
        <v>77</v>
      </c>
      <c r="C1340" s="3" t="str">
        <f>"011615210"</f>
        <v>011615210</v>
      </c>
      <c r="D1340" s="3" t="s">
        <v>2604</v>
      </c>
      <c r="E1340" s="3" t="s">
        <v>2781</v>
      </c>
      <c r="F1340" s="3" t="s">
        <v>2782</v>
      </c>
      <c r="G1340" s="3">
        <v>515.17999999999995</v>
      </c>
    </row>
    <row r="1341" spans="1:7" x14ac:dyDescent="0.25">
      <c r="A1341" s="1" t="s">
        <v>3169</v>
      </c>
      <c r="B1341" s="2">
        <v>77</v>
      </c>
      <c r="C1341" s="3" t="str">
        <f>"011615211"</f>
        <v>011615211</v>
      </c>
      <c r="D1341" s="3" t="s">
        <v>2604</v>
      </c>
      <c r="E1341" s="3" t="s">
        <v>2783</v>
      </c>
      <c r="F1341" s="3" t="s">
        <v>2784</v>
      </c>
      <c r="G1341" s="3">
        <v>515.17999999999995</v>
      </c>
    </row>
    <row r="1342" spans="1:7" x14ac:dyDescent="0.25">
      <c r="A1342" s="1" t="s">
        <v>3169</v>
      </c>
      <c r="B1342" s="2">
        <v>77</v>
      </c>
      <c r="C1342" s="3" t="str">
        <f>"011615212"</f>
        <v>011615212</v>
      </c>
      <c r="D1342" s="3" t="s">
        <v>2604</v>
      </c>
      <c r="E1342" s="3" t="s">
        <v>2785</v>
      </c>
      <c r="F1342" s="3" t="s">
        <v>2786</v>
      </c>
      <c r="G1342" s="3">
        <v>515.17999999999995</v>
      </c>
    </row>
    <row r="1343" spans="1:7" x14ac:dyDescent="0.25">
      <c r="A1343" s="1" t="s">
        <v>3169</v>
      </c>
      <c r="B1343" s="2">
        <v>77</v>
      </c>
      <c r="C1343" s="3" t="str">
        <f>"011615213"</f>
        <v>011615213</v>
      </c>
      <c r="D1343" s="3" t="s">
        <v>2604</v>
      </c>
      <c r="E1343" s="3" t="s">
        <v>2787</v>
      </c>
      <c r="F1343" s="3" t="s">
        <v>2788</v>
      </c>
      <c r="G1343" s="3">
        <v>515.17999999999995</v>
      </c>
    </row>
    <row r="1344" spans="1:7" x14ac:dyDescent="0.25">
      <c r="A1344" s="1" t="s">
        <v>3169</v>
      </c>
      <c r="B1344" s="2">
        <v>77</v>
      </c>
      <c r="C1344" s="3" t="str">
        <f>"011615214"</f>
        <v>011615214</v>
      </c>
      <c r="D1344" s="3" t="s">
        <v>2604</v>
      </c>
      <c r="E1344" s="3" t="s">
        <v>2789</v>
      </c>
      <c r="F1344" s="3" t="s">
        <v>2790</v>
      </c>
      <c r="G1344" s="3">
        <v>515.17999999999995</v>
      </c>
    </row>
    <row r="1345" spans="1:7" x14ac:dyDescent="0.25">
      <c r="A1345" s="1" t="s">
        <v>3169</v>
      </c>
      <c r="B1345" s="2">
        <v>77</v>
      </c>
      <c r="C1345" s="3" t="str">
        <f>"011615215"</f>
        <v>011615215</v>
      </c>
      <c r="D1345" s="3" t="s">
        <v>2604</v>
      </c>
      <c r="E1345" s="3" t="s">
        <v>2791</v>
      </c>
      <c r="F1345" s="3" t="s">
        <v>2792</v>
      </c>
      <c r="G1345" s="3">
        <v>515.17999999999995</v>
      </c>
    </row>
    <row r="1346" spans="1:7" x14ac:dyDescent="0.25">
      <c r="A1346" s="1" t="s">
        <v>3169</v>
      </c>
      <c r="B1346" s="2">
        <v>77</v>
      </c>
      <c r="C1346" s="3" t="str">
        <f>"011615216"</f>
        <v>011615216</v>
      </c>
      <c r="D1346" s="3" t="s">
        <v>2604</v>
      </c>
      <c r="E1346" s="3" t="s">
        <v>2793</v>
      </c>
      <c r="F1346" s="3" t="s">
        <v>2794</v>
      </c>
      <c r="G1346" s="3">
        <v>515.17999999999995</v>
      </c>
    </row>
    <row r="1347" spans="1:7" x14ac:dyDescent="0.25">
      <c r="A1347" s="1" t="s">
        <v>3169</v>
      </c>
      <c r="B1347" s="2">
        <v>77</v>
      </c>
      <c r="C1347" s="3" t="str">
        <f>"011615217"</f>
        <v>011615217</v>
      </c>
      <c r="D1347" s="3" t="s">
        <v>2604</v>
      </c>
      <c r="E1347" s="3" t="s">
        <v>2795</v>
      </c>
      <c r="F1347" s="3" t="s">
        <v>2796</v>
      </c>
      <c r="G1347" s="3">
        <v>515.17999999999995</v>
      </c>
    </row>
    <row r="1348" spans="1:7" x14ac:dyDescent="0.25">
      <c r="A1348" s="1" t="s">
        <v>3169</v>
      </c>
      <c r="B1348" s="2">
        <v>77</v>
      </c>
      <c r="C1348" s="3" t="str">
        <f>"011615218"</f>
        <v>011615218</v>
      </c>
      <c r="D1348" s="3" t="s">
        <v>2604</v>
      </c>
      <c r="E1348" s="3" t="s">
        <v>2797</v>
      </c>
      <c r="F1348" s="3" t="s">
        <v>2798</v>
      </c>
      <c r="G1348" s="3">
        <v>515.17999999999995</v>
      </c>
    </row>
    <row r="1349" spans="1:7" x14ac:dyDescent="0.25">
      <c r="A1349" s="1" t="s">
        <v>3169</v>
      </c>
      <c r="B1349" s="2">
        <v>77</v>
      </c>
      <c r="C1349" s="3" t="str">
        <f>"011615219"</f>
        <v>011615219</v>
      </c>
      <c r="D1349" s="3" t="s">
        <v>2604</v>
      </c>
      <c r="E1349" s="3" t="s">
        <v>2799</v>
      </c>
      <c r="F1349" s="3" t="s">
        <v>2800</v>
      </c>
      <c r="G1349" s="3">
        <v>515.17999999999995</v>
      </c>
    </row>
    <row r="1350" spans="1:7" x14ac:dyDescent="0.25">
      <c r="A1350" s="1" t="s">
        <v>3169</v>
      </c>
      <c r="B1350" s="2">
        <v>77</v>
      </c>
      <c r="C1350" s="3" t="str">
        <f>"011615220"</f>
        <v>011615220</v>
      </c>
      <c r="D1350" s="3" t="s">
        <v>2604</v>
      </c>
      <c r="E1350" s="3"/>
      <c r="F1350" s="3" t="s">
        <v>2801</v>
      </c>
      <c r="G1350" s="3">
        <v>515.17999999999995</v>
      </c>
    </row>
    <row r="1351" spans="1:7" x14ac:dyDescent="0.25">
      <c r="A1351" s="1" t="s">
        <v>3169</v>
      </c>
      <c r="B1351" s="2">
        <v>77</v>
      </c>
      <c r="C1351" s="3" t="str">
        <f>"011615221"</f>
        <v>011615221</v>
      </c>
      <c r="D1351" s="3" t="s">
        <v>2604</v>
      </c>
      <c r="E1351" s="3"/>
      <c r="F1351" s="3" t="s">
        <v>2802</v>
      </c>
      <c r="G1351" s="3">
        <v>515.17999999999995</v>
      </c>
    </row>
    <row r="1352" spans="1:7" x14ac:dyDescent="0.25">
      <c r="A1352" s="1" t="s">
        <v>3169</v>
      </c>
      <c r="B1352" s="2">
        <v>77</v>
      </c>
      <c r="C1352" s="3" t="str">
        <f>"011615222"</f>
        <v>011615222</v>
      </c>
      <c r="D1352" s="3" t="s">
        <v>2604</v>
      </c>
      <c r="E1352" s="3" t="s">
        <v>2803</v>
      </c>
      <c r="F1352" s="3" t="s">
        <v>2804</v>
      </c>
      <c r="G1352" s="3">
        <v>515.17999999999995</v>
      </c>
    </row>
    <row r="1353" spans="1:7" x14ac:dyDescent="0.25">
      <c r="A1353" s="1" t="s">
        <v>3169</v>
      </c>
      <c r="B1353" s="2">
        <v>77</v>
      </c>
      <c r="C1353" s="3" t="str">
        <f>"011615223"</f>
        <v>011615223</v>
      </c>
      <c r="D1353" s="3" t="s">
        <v>2604</v>
      </c>
      <c r="E1353" s="3" t="s">
        <v>2805</v>
      </c>
      <c r="F1353" s="3" t="s">
        <v>2806</v>
      </c>
      <c r="G1353" s="3">
        <v>515.17999999999995</v>
      </c>
    </row>
    <row r="1354" spans="1:7" x14ac:dyDescent="0.25">
      <c r="A1354" s="1" t="s">
        <v>3169</v>
      </c>
      <c r="B1354" s="2">
        <v>77</v>
      </c>
      <c r="C1354" s="3" t="str">
        <f>"011615224"</f>
        <v>011615224</v>
      </c>
      <c r="D1354" s="3" t="s">
        <v>2604</v>
      </c>
      <c r="E1354" s="3" t="s">
        <v>2807</v>
      </c>
      <c r="F1354" s="3" t="s">
        <v>2808</v>
      </c>
      <c r="G1354" s="3">
        <v>515.17999999999995</v>
      </c>
    </row>
    <row r="1355" spans="1:7" x14ac:dyDescent="0.25">
      <c r="A1355" s="1" t="s">
        <v>3169</v>
      </c>
      <c r="B1355" s="2">
        <v>77</v>
      </c>
      <c r="C1355" s="3" t="str">
        <f>"011615225"</f>
        <v>011615225</v>
      </c>
      <c r="D1355" s="3" t="s">
        <v>2604</v>
      </c>
      <c r="E1355" s="3" t="s">
        <v>2809</v>
      </c>
      <c r="F1355" s="3" t="s">
        <v>2810</v>
      </c>
      <c r="G1355" s="3">
        <v>515.17999999999995</v>
      </c>
    </row>
    <row r="1356" spans="1:7" x14ac:dyDescent="0.25">
      <c r="A1356" s="1" t="s">
        <v>3169</v>
      </c>
      <c r="B1356" s="2">
        <v>77</v>
      </c>
      <c r="C1356" s="3" t="str">
        <f>"011615226"</f>
        <v>011615226</v>
      </c>
      <c r="D1356" s="3" t="s">
        <v>2604</v>
      </c>
      <c r="E1356" s="3"/>
      <c r="F1356" s="3" t="s">
        <v>2811</v>
      </c>
      <c r="G1356" s="3">
        <v>515.17999999999995</v>
      </c>
    </row>
    <row r="1357" spans="1:7" x14ac:dyDescent="0.25">
      <c r="A1357" s="1" t="s">
        <v>3169</v>
      </c>
      <c r="B1357" s="2">
        <v>77</v>
      </c>
      <c r="C1357" s="3" t="str">
        <f>"011615227"</f>
        <v>011615227</v>
      </c>
      <c r="D1357" s="3" t="s">
        <v>2604</v>
      </c>
      <c r="E1357" s="3"/>
      <c r="F1357" s="3" t="s">
        <v>2812</v>
      </c>
      <c r="G1357" s="3">
        <v>515.17999999999995</v>
      </c>
    </row>
    <row r="1358" spans="1:7" x14ac:dyDescent="0.25">
      <c r="A1358" s="1" t="s">
        <v>3169</v>
      </c>
      <c r="B1358" s="2">
        <v>77</v>
      </c>
      <c r="C1358" s="3" t="str">
        <f>"011615228"</f>
        <v>011615228</v>
      </c>
      <c r="D1358" s="3" t="s">
        <v>2604</v>
      </c>
      <c r="E1358" s="3" t="s">
        <v>2813</v>
      </c>
      <c r="F1358" s="3" t="s">
        <v>2814</v>
      </c>
      <c r="G1358" s="3">
        <v>515.17999999999995</v>
      </c>
    </row>
    <row r="1359" spans="1:7" x14ac:dyDescent="0.25">
      <c r="A1359" s="1" t="s">
        <v>3169</v>
      </c>
      <c r="B1359" s="2">
        <v>77</v>
      </c>
      <c r="C1359" s="3" t="str">
        <f>"011615229"</f>
        <v>011615229</v>
      </c>
      <c r="D1359" s="3" t="s">
        <v>2604</v>
      </c>
      <c r="E1359" s="3" t="s">
        <v>2815</v>
      </c>
      <c r="F1359" s="3" t="s">
        <v>2816</v>
      </c>
      <c r="G1359" s="3">
        <v>515.17999999999995</v>
      </c>
    </row>
    <row r="1360" spans="1:7" x14ac:dyDescent="0.25">
      <c r="A1360" s="1" t="s">
        <v>3169</v>
      </c>
      <c r="B1360" s="2">
        <v>77</v>
      </c>
      <c r="C1360" s="3" t="str">
        <f>"011615230"</f>
        <v>011615230</v>
      </c>
      <c r="D1360" s="3" t="s">
        <v>2604</v>
      </c>
      <c r="E1360" s="3" t="s">
        <v>2817</v>
      </c>
      <c r="F1360" s="3" t="s">
        <v>2818</v>
      </c>
      <c r="G1360" s="3">
        <v>515.17999999999995</v>
      </c>
    </row>
    <row r="1361" spans="1:7" x14ac:dyDescent="0.25">
      <c r="A1361" s="1" t="s">
        <v>3169</v>
      </c>
      <c r="B1361" s="2">
        <v>77</v>
      </c>
      <c r="C1361" s="3" t="str">
        <f>"011615231"</f>
        <v>011615231</v>
      </c>
      <c r="D1361" s="3" t="s">
        <v>2604</v>
      </c>
      <c r="E1361" s="3" t="s">
        <v>2819</v>
      </c>
      <c r="F1361" s="3" t="s">
        <v>2820</v>
      </c>
      <c r="G1361" s="3">
        <v>515.17999999999995</v>
      </c>
    </row>
    <row r="1362" spans="1:7" x14ac:dyDescent="0.25">
      <c r="A1362" s="1" t="s">
        <v>3169</v>
      </c>
      <c r="B1362" s="2">
        <v>77</v>
      </c>
      <c r="C1362" s="3" t="str">
        <f>"011615232"</f>
        <v>011615232</v>
      </c>
      <c r="D1362" s="3" t="s">
        <v>2604</v>
      </c>
      <c r="E1362" s="3" t="s">
        <v>2821</v>
      </c>
      <c r="F1362" s="3" t="s">
        <v>2822</v>
      </c>
      <c r="G1362" s="3">
        <v>515.17999999999995</v>
      </c>
    </row>
    <row r="1363" spans="1:7" x14ac:dyDescent="0.25">
      <c r="A1363" s="1" t="s">
        <v>3169</v>
      </c>
      <c r="B1363" s="2">
        <v>77</v>
      </c>
      <c r="C1363" s="3" t="str">
        <f>"011615233"</f>
        <v>011615233</v>
      </c>
      <c r="D1363" s="3" t="s">
        <v>2604</v>
      </c>
      <c r="E1363" s="3"/>
      <c r="F1363" s="3" t="s">
        <v>2823</v>
      </c>
      <c r="G1363" s="3">
        <v>515.17999999999995</v>
      </c>
    </row>
    <row r="1364" spans="1:7" x14ac:dyDescent="0.25">
      <c r="A1364" s="1" t="s">
        <v>3169</v>
      </c>
      <c r="B1364" s="2">
        <v>77</v>
      </c>
      <c r="C1364" s="3" t="str">
        <f>"011615234"</f>
        <v>011615234</v>
      </c>
      <c r="D1364" s="3" t="s">
        <v>2604</v>
      </c>
      <c r="E1364" s="3"/>
      <c r="F1364" s="3" t="s">
        <v>2824</v>
      </c>
      <c r="G1364" s="3">
        <v>515.17999999999995</v>
      </c>
    </row>
    <row r="1365" spans="1:7" x14ac:dyDescent="0.25">
      <c r="A1365" s="1" t="s">
        <v>3169</v>
      </c>
      <c r="B1365" s="2">
        <v>77</v>
      </c>
      <c r="C1365" s="3" t="str">
        <f>"011615235"</f>
        <v>011615235</v>
      </c>
      <c r="D1365" s="3" t="s">
        <v>2604</v>
      </c>
      <c r="E1365" s="3" t="s">
        <v>2825</v>
      </c>
      <c r="F1365" s="3" t="s">
        <v>2826</v>
      </c>
      <c r="G1365" s="3">
        <v>515.17999999999995</v>
      </c>
    </row>
    <row r="1366" spans="1:7" x14ac:dyDescent="0.25">
      <c r="A1366" s="1" t="s">
        <v>3169</v>
      </c>
      <c r="B1366" s="2">
        <v>77</v>
      </c>
      <c r="C1366" s="3" t="str">
        <f>"011615236"</f>
        <v>011615236</v>
      </c>
      <c r="D1366" s="3" t="s">
        <v>2604</v>
      </c>
      <c r="E1366" s="3" t="s">
        <v>2827</v>
      </c>
      <c r="F1366" s="3" t="s">
        <v>2828</v>
      </c>
      <c r="G1366" s="3">
        <v>515.17999999999995</v>
      </c>
    </row>
    <row r="1367" spans="1:7" x14ac:dyDescent="0.25">
      <c r="A1367" s="1" t="s">
        <v>3169</v>
      </c>
      <c r="B1367" s="2">
        <v>77</v>
      </c>
      <c r="C1367" s="3" t="str">
        <f>"011615237"</f>
        <v>011615237</v>
      </c>
      <c r="D1367" s="3" t="s">
        <v>2604</v>
      </c>
      <c r="E1367" s="3" t="s">
        <v>2829</v>
      </c>
      <c r="F1367" s="3" t="s">
        <v>2830</v>
      </c>
      <c r="G1367" s="3">
        <v>515.17999999999995</v>
      </c>
    </row>
    <row r="1368" spans="1:7" x14ac:dyDescent="0.25">
      <c r="A1368" s="1" t="s">
        <v>3169</v>
      </c>
      <c r="B1368" s="2">
        <v>77</v>
      </c>
      <c r="C1368" s="3" t="str">
        <f>"011615238"</f>
        <v>011615238</v>
      </c>
      <c r="D1368" s="3" t="s">
        <v>2604</v>
      </c>
      <c r="E1368" s="3" t="s">
        <v>2831</v>
      </c>
      <c r="F1368" s="3" t="s">
        <v>2832</v>
      </c>
      <c r="G1368" s="3">
        <v>515.17999999999995</v>
      </c>
    </row>
    <row r="1369" spans="1:7" x14ac:dyDescent="0.25">
      <c r="A1369" s="1" t="s">
        <v>3169</v>
      </c>
      <c r="B1369" s="2">
        <v>77</v>
      </c>
      <c r="C1369" s="3" t="str">
        <f>"011615239"</f>
        <v>011615239</v>
      </c>
      <c r="D1369" s="3" t="s">
        <v>2604</v>
      </c>
      <c r="E1369" s="3" t="s">
        <v>2833</v>
      </c>
      <c r="F1369" s="3" t="s">
        <v>2834</v>
      </c>
      <c r="G1369" s="3">
        <v>515.17999999999995</v>
      </c>
    </row>
    <row r="1370" spans="1:7" x14ac:dyDescent="0.25">
      <c r="A1370" s="1" t="s">
        <v>3169</v>
      </c>
      <c r="B1370" s="2">
        <v>77</v>
      </c>
      <c r="C1370" s="3" t="str">
        <f>"011615240"</f>
        <v>011615240</v>
      </c>
      <c r="D1370" s="3" t="s">
        <v>2604</v>
      </c>
      <c r="E1370" s="3"/>
      <c r="F1370" s="3" t="s">
        <v>2835</v>
      </c>
      <c r="G1370" s="3">
        <v>515.17999999999995</v>
      </c>
    </row>
    <row r="1371" spans="1:7" x14ac:dyDescent="0.25">
      <c r="A1371" s="1" t="s">
        <v>3169</v>
      </c>
      <c r="B1371" s="2">
        <v>77</v>
      </c>
      <c r="C1371" s="3" t="str">
        <f>"011615241"</f>
        <v>011615241</v>
      </c>
      <c r="D1371" s="3" t="s">
        <v>2604</v>
      </c>
      <c r="E1371" s="3"/>
      <c r="F1371" s="3" t="s">
        <v>2836</v>
      </c>
      <c r="G1371" s="3">
        <v>515.17999999999995</v>
      </c>
    </row>
    <row r="1372" spans="1:7" x14ac:dyDescent="0.25">
      <c r="A1372" s="1" t="s">
        <v>3169</v>
      </c>
      <c r="B1372" s="2">
        <v>77</v>
      </c>
      <c r="C1372" s="3" t="str">
        <f>"011615242"</f>
        <v>011615242</v>
      </c>
      <c r="D1372" s="3" t="s">
        <v>2604</v>
      </c>
      <c r="E1372" s="3" t="s">
        <v>2837</v>
      </c>
      <c r="F1372" s="3" t="s">
        <v>2838</v>
      </c>
      <c r="G1372" s="3">
        <v>515.17999999999995</v>
      </c>
    </row>
    <row r="1373" spans="1:7" x14ac:dyDescent="0.25">
      <c r="A1373" s="1" t="s">
        <v>3169</v>
      </c>
      <c r="B1373" s="2">
        <v>77</v>
      </c>
      <c r="C1373" s="3" t="str">
        <f>"011615243"</f>
        <v>011615243</v>
      </c>
      <c r="D1373" s="3" t="s">
        <v>2604</v>
      </c>
      <c r="E1373" s="3" t="s">
        <v>2839</v>
      </c>
      <c r="F1373" s="3" t="s">
        <v>2840</v>
      </c>
      <c r="G1373" s="3">
        <v>515.17999999999995</v>
      </c>
    </row>
    <row r="1374" spans="1:7" x14ac:dyDescent="0.25">
      <c r="A1374" s="1" t="s">
        <v>3169</v>
      </c>
      <c r="B1374" s="2">
        <v>77</v>
      </c>
      <c r="C1374" s="3" t="str">
        <f>"011615244"</f>
        <v>011615244</v>
      </c>
      <c r="D1374" s="3" t="s">
        <v>2604</v>
      </c>
      <c r="E1374" s="3" t="s">
        <v>2841</v>
      </c>
      <c r="F1374" s="3" t="s">
        <v>2842</v>
      </c>
      <c r="G1374" s="3">
        <v>515.17999999999995</v>
      </c>
    </row>
    <row r="1375" spans="1:7" x14ac:dyDescent="0.25">
      <c r="A1375" s="1" t="s">
        <v>3169</v>
      </c>
      <c r="B1375" s="2">
        <v>77</v>
      </c>
      <c r="C1375" s="3" t="str">
        <f>"011615245"</f>
        <v>011615245</v>
      </c>
      <c r="D1375" s="3" t="s">
        <v>2604</v>
      </c>
      <c r="E1375" s="3" t="s">
        <v>2843</v>
      </c>
      <c r="F1375" s="3" t="s">
        <v>2844</v>
      </c>
      <c r="G1375" s="3">
        <v>515.17999999999995</v>
      </c>
    </row>
    <row r="1376" spans="1:7" x14ac:dyDescent="0.25">
      <c r="A1376" s="1" t="s">
        <v>3169</v>
      </c>
      <c r="B1376" s="2">
        <v>77</v>
      </c>
      <c r="C1376" s="3" t="str">
        <f>"011615246"</f>
        <v>011615246</v>
      </c>
      <c r="D1376" s="3" t="s">
        <v>2604</v>
      </c>
      <c r="E1376" s="3" t="s">
        <v>2845</v>
      </c>
      <c r="F1376" s="3" t="s">
        <v>2846</v>
      </c>
      <c r="G1376" s="3">
        <v>515.17999999999995</v>
      </c>
    </row>
    <row r="1377" spans="1:7" x14ac:dyDescent="0.25">
      <c r="A1377" s="1" t="s">
        <v>3169</v>
      </c>
      <c r="B1377" s="2">
        <v>77</v>
      </c>
      <c r="C1377" s="3" t="str">
        <f>"011615247"</f>
        <v>011615247</v>
      </c>
      <c r="D1377" s="3" t="s">
        <v>2604</v>
      </c>
      <c r="E1377" s="3" t="s">
        <v>2847</v>
      </c>
      <c r="F1377" s="3" t="s">
        <v>2848</v>
      </c>
      <c r="G1377" s="3">
        <v>515.17999999999995</v>
      </c>
    </row>
    <row r="1378" spans="1:7" x14ac:dyDescent="0.25">
      <c r="A1378" s="1" t="s">
        <v>3169</v>
      </c>
      <c r="B1378" s="2">
        <v>77</v>
      </c>
      <c r="C1378" s="3" t="str">
        <f>"011615248"</f>
        <v>011615248</v>
      </c>
      <c r="D1378" s="3" t="s">
        <v>2604</v>
      </c>
      <c r="E1378" s="3"/>
      <c r="F1378" s="3" t="s">
        <v>2849</v>
      </c>
      <c r="G1378" s="3">
        <v>515.17999999999995</v>
      </c>
    </row>
    <row r="1379" spans="1:7" x14ac:dyDescent="0.25">
      <c r="A1379" s="1" t="s">
        <v>3169</v>
      </c>
      <c r="B1379" s="2">
        <v>77</v>
      </c>
      <c r="C1379" s="3" t="str">
        <f>"011615249"</f>
        <v>011615249</v>
      </c>
      <c r="D1379" s="3" t="s">
        <v>2604</v>
      </c>
      <c r="E1379" s="3"/>
      <c r="F1379" s="3" t="s">
        <v>2850</v>
      </c>
      <c r="G1379" s="3">
        <v>515.17999999999995</v>
      </c>
    </row>
    <row r="1380" spans="1:7" x14ac:dyDescent="0.25">
      <c r="A1380" s="1" t="s">
        <v>3169</v>
      </c>
      <c r="B1380" s="2">
        <v>77</v>
      </c>
      <c r="C1380" s="3" t="str">
        <f>"011615250"</f>
        <v>011615250</v>
      </c>
      <c r="D1380" s="3" t="s">
        <v>2604</v>
      </c>
      <c r="E1380" s="3" t="s">
        <v>2851</v>
      </c>
      <c r="F1380" s="3" t="s">
        <v>2852</v>
      </c>
      <c r="G1380" s="3">
        <v>515.17999999999995</v>
      </c>
    </row>
    <row r="1381" spans="1:7" x14ac:dyDescent="0.25">
      <c r="A1381" s="1" t="s">
        <v>3169</v>
      </c>
      <c r="B1381" s="2">
        <v>77</v>
      </c>
      <c r="C1381" s="3" t="str">
        <f>"011615251"</f>
        <v>011615251</v>
      </c>
      <c r="D1381" s="3" t="s">
        <v>2604</v>
      </c>
      <c r="E1381" s="3" t="s">
        <v>2853</v>
      </c>
      <c r="F1381" s="3" t="s">
        <v>2854</v>
      </c>
      <c r="G1381" s="3">
        <v>515.17999999999995</v>
      </c>
    </row>
    <row r="1382" spans="1:7" x14ac:dyDescent="0.25">
      <c r="A1382" s="1" t="s">
        <v>3169</v>
      </c>
      <c r="B1382" s="2">
        <v>77</v>
      </c>
      <c r="C1382" s="3" t="str">
        <f>"011615252"</f>
        <v>011615252</v>
      </c>
      <c r="D1382" s="3" t="s">
        <v>2604</v>
      </c>
      <c r="E1382" s="3" t="s">
        <v>2855</v>
      </c>
      <c r="F1382" s="3" t="s">
        <v>2856</v>
      </c>
      <c r="G1382" s="3">
        <v>515.17999999999995</v>
      </c>
    </row>
    <row r="1383" spans="1:7" x14ac:dyDescent="0.25">
      <c r="A1383" s="1" t="s">
        <v>3169</v>
      </c>
      <c r="B1383" s="2">
        <v>77</v>
      </c>
      <c r="C1383" s="3" t="str">
        <f>"011615253"</f>
        <v>011615253</v>
      </c>
      <c r="D1383" s="3" t="s">
        <v>2604</v>
      </c>
      <c r="E1383" s="3" t="s">
        <v>2857</v>
      </c>
      <c r="F1383" s="3" t="s">
        <v>2858</v>
      </c>
      <c r="G1383" s="3">
        <v>515.17999999999995</v>
      </c>
    </row>
    <row r="1384" spans="1:7" x14ac:dyDescent="0.25">
      <c r="A1384" s="1" t="s">
        <v>3169</v>
      </c>
      <c r="B1384" s="2">
        <v>77</v>
      </c>
      <c r="C1384" s="3" t="str">
        <f>"011615254"</f>
        <v>011615254</v>
      </c>
      <c r="D1384" s="3" t="s">
        <v>2604</v>
      </c>
      <c r="E1384" s="3" t="s">
        <v>2859</v>
      </c>
      <c r="F1384" s="3" t="s">
        <v>2860</v>
      </c>
      <c r="G1384" s="3">
        <v>515.17999999999995</v>
      </c>
    </row>
    <row r="1385" spans="1:7" x14ac:dyDescent="0.25">
      <c r="A1385" s="1" t="s">
        <v>3169</v>
      </c>
      <c r="B1385" s="2">
        <v>77</v>
      </c>
      <c r="C1385" s="3" t="str">
        <f>"011615255"</f>
        <v>011615255</v>
      </c>
      <c r="D1385" s="3" t="s">
        <v>2604</v>
      </c>
      <c r="E1385" s="3" t="s">
        <v>2861</v>
      </c>
      <c r="F1385" s="3" t="s">
        <v>2862</v>
      </c>
      <c r="G1385" s="3">
        <v>515.17999999999995</v>
      </c>
    </row>
    <row r="1386" spans="1:7" x14ac:dyDescent="0.25">
      <c r="A1386" s="1" t="s">
        <v>3169</v>
      </c>
      <c r="B1386" s="2">
        <v>77</v>
      </c>
      <c r="C1386" s="3" t="str">
        <f>"011615256"</f>
        <v>011615256</v>
      </c>
      <c r="D1386" s="3" t="s">
        <v>2604</v>
      </c>
      <c r="E1386" s="3"/>
      <c r="F1386" s="3" t="s">
        <v>2863</v>
      </c>
      <c r="G1386" s="3">
        <v>515.17999999999995</v>
      </c>
    </row>
    <row r="1387" spans="1:7" x14ac:dyDescent="0.25">
      <c r="A1387" s="1" t="s">
        <v>3169</v>
      </c>
      <c r="B1387" s="2">
        <v>77</v>
      </c>
      <c r="C1387" s="3" t="str">
        <f>"011615257"</f>
        <v>011615257</v>
      </c>
      <c r="D1387" s="3" t="s">
        <v>2604</v>
      </c>
      <c r="E1387" s="3"/>
      <c r="F1387" s="3" t="s">
        <v>2864</v>
      </c>
      <c r="G1387" s="3">
        <v>515.17999999999995</v>
      </c>
    </row>
    <row r="1388" spans="1:7" x14ac:dyDescent="0.25">
      <c r="A1388" s="1" t="s">
        <v>3169</v>
      </c>
      <c r="B1388" s="2">
        <v>77</v>
      </c>
      <c r="C1388" s="3" t="str">
        <f>"011615258"</f>
        <v>011615258</v>
      </c>
      <c r="D1388" s="3" t="s">
        <v>2604</v>
      </c>
      <c r="E1388" s="3" t="s">
        <v>2865</v>
      </c>
      <c r="F1388" s="3" t="s">
        <v>2866</v>
      </c>
      <c r="G1388" s="3">
        <v>515.17999999999995</v>
      </c>
    </row>
    <row r="1389" spans="1:7" x14ac:dyDescent="0.25">
      <c r="A1389" s="1" t="s">
        <v>3169</v>
      </c>
      <c r="B1389" s="2">
        <v>77</v>
      </c>
      <c r="C1389" s="3" t="str">
        <f>"011615259"</f>
        <v>011615259</v>
      </c>
      <c r="D1389" s="3" t="s">
        <v>2604</v>
      </c>
      <c r="E1389" s="3" t="s">
        <v>2867</v>
      </c>
      <c r="F1389" s="3" t="s">
        <v>2868</v>
      </c>
      <c r="G1389" s="3">
        <v>515.17999999999995</v>
      </c>
    </row>
    <row r="1390" spans="1:7" x14ac:dyDescent="0.25">
      <c r="A1390" s="1" t="s">
        <v>3169</v>
      </c>
      <c r="B1390" s="2">
        <v>77</v>
      </c>
      <c r="C1390" s="3" t="str">
        <f>"011615260"</f>
        <v>011615260</v>
      </c>
      <c r="D1390" s="3" t="s">
        <v>2604</v>
      </c>
      <c r="E1390" s="3" t="s">
        <v>2869</v>
      </c>
      <c r="F1390" s="3" t="s">
        <v>2870</v>
      </c>
      <c r="G1390" s="3">
        <v>515.17999999999995</v>
      </c>
    </row>
    <row r="1391" spans="1:7" x14ac:dyDescent="0.25">
      <c r="A1391" s="1" t="s">
        <v>3169</v>
      </c>
      <c r="B1391" s="2">
        <v>77</v>
      </c>
      <c r="C1391" s="3" t="str">
        <f>"011615261"</f>
        <v>011615261</v>
      </c>
      <c r="D1391" s="3" t="s">
        <v>2604</v>
      </c>
      <c r="E1391" s="3" t="s">
        <v>2871</v>
      </c>
      <c r="F1391" s="3" t="s">
        <v>2872</v>
      </c>
      <c r="G1391" s="3">
        <v>515.17999999999995</v>
      </c>
    </row>
    <row r="1392" spans="1:7" x14ac:dyDescent="0.25">
      <c r="A1392" s="1" t="s">
        <v>3169</v>
      </c>
      <c r="B1392" s="2">
        <v>77</v>
      </c>
      <c r="C1392" s="3" t="str">
        <f>"011615262"</f>
        <v>011615262</v>
      </c>
      <c r="D1392" s="3" t="s">
        <v>2604</v>
      </c>
      <c r="E1392" s="3" t="s">
        <v>2873</v>
      </c>
      <c r="F1392" s="3" t="s">
        <v>2874</v>
      </c>
      <c r="G1392" s="3">
        <v>515.17999999999995</v>
      </c>
    </row>
    <row r="1393" spans="1:7" x14ac:dyDescent="0.25">
      <c r="A1393" s="1" t="s">
        <v>3169</v>
      </c>
      <c r="B1393" s="2">
        <v>77</v>
      </c>
      <c r="C1393" s="3" t="str">
        <f>"011615263"</f>
        <v>011615263</v>
      </c>
      <c r="D1393" s="3" t="s">
        <v>2604</v>
      </c>
      <c r="E1393" s="3" t="s">
        <v>2875</v>
      </c>
      <c r="F1393" s="3" t="s">
        <v>2876</v>
      </c>
      <c r="G1393" s="3">
        <v>515.17999999999995</v>
      </c>
    </row>
    <row r="1394" spans="1:7" x14ac:dyDescent="0.25">
      <c r="A1394" s="1" t="s">
        <v>3169</v>
      </c>
      <c r="B1394" s="2">
        <v>77</v>
      </c>
      <c r="C1394" s="3" t="str">
        <f>"011615264"</f>
        <v>011615264</v>
      </c>
      <c r="D1394" s="3" t="s">
        <v>2604</v>
      </c>
      <c r="E1394" s="3"/>
      <c r="F1394" s="3" t="s">
        <v>2877</v>
      </c>
      <c r="G1394" s="3">
        <v>515.17999999999995</v>
      </c>
    </row>
    <row r="1395" spans="1:7" x14ac:dyDescent="0.25">
      <c r="A1395" s="1" t="s">
        <v>3169</v>
      </c>
      <c r="B1395" s="2">
        <v>77</v>
      </c>
      <c r="C1395" s="3" t="str">
        <f>"011615265"</f>
        <v>011615265</v>
      </c>
      <c r="D1395" s="3" t="s">
        <v>2604</v>
      </c>
      <c r="E1395" s="3"/>
      <c r="F1395" s="3" t="s">
        <v>2878</v>
      </c>
      <c r="G1395" s="3">
        <v>515.17999999999995</v>
      </c>
    </row>
    <row r="1396" spans="1:7" x14ac:dyDescent="0.25">
      <c r="A1396" s="1" t="s">
        <v>3169</v>
      </c>
      <c r="B1396" s="2">
        <v>77</v>
      </c>
      <c r="C1396" s="3" t="str">
        <f>"011615266"</f>
        <v>011615266</v>
      </c>
      <c r="D1396" s="3" t="s">
        <v>2604</v>
      </c>
      <c r="E1396" s="3" t="s">
        <v>2879</v>
      </c>
      <c r="F1396" s="3" t="s">
        <v>2880</v>
      </c>
      <c r="G1396" s="3">
        <v>515.17999999999995</v>
      </c>
    </row>
    <row r="1397" spans="1:7" x14ac:dyDescent="0.25">
      <c r="A1397" s="1" t="s">
        <v>3169</v>
      </c>
      <c r="B1397" s="2">
        <v>77</v>
      </c>
      <c r="C1397" s="3" t="str">
        <f>"011615267"</f>
        <v>011615267</v>
      </c>
      <c r="D1397" s="3" t="s">
        <v>2604</v>
      </c>
      <c r="E1397" s="3" t="s">
        <v>2881</v>
      </c>
      <c r="F1397" s="3" t="s">
        <v>2882</v>
      </c>
      <c r="G1397" s="3">
        <v>515.17999999999995</v>
      </c>
    </row>
    <row r="1398" spans="1:7" x14ac:dyDescent="0.25">
      <c r="A1398" s="1" t="s">
        <v>3169</v>
      </c>
      <c r="B1398" s="2">
        <v>77</v>
      </c>
      <c r="C1398" s="3" t="str">
        <f>"011615268"</f>
        <v>011615268</v>
      </c>
      <c r="D1398" s="3" t="s">
        <v>2604</v>
      </c>
      <c r="E1398" s="3" t="s">
        <v>2883</v>
      </c>
      <c r="F1398" s="3" t="s">
        <v>2884</v>
      </c>
      <c r="G1398" s="3">
        <v>515.17999999999995</v>
      </c>
    </row>
    <row r="1399" spans="1:7" x14ac:dyDescent="0.25">
      <c r="A1399" s="1" t="s">
        <v>3169</v>
      </c>
      <c r="B1399" s="2">
        <v>77</v>
      </c>
      <c r="C1399" s="3" t="str">
        <f>"011615269"</f>
        <v>011615269</v>
      </c>
      <c r="D1399" s="3" t="s">
        <v>2604</v>
      </c>
      <c r="E1399" s="3" t="s">
        <v>2885</v>
      </c>
      <c r="F1399" s="3" t="s">
        <v>2886</v>
      </c>
      <c r="G1399" s="3">
        <v>515.17999999999995</v>
      </c>
    </row>
    <row r="1400" spans="1:7" x14ac:dyDescent="0.25">
      <c r="A1400" s="1" t="s">
        <v>3169</v>
      </c>
      <c r="B1400" s="2">
        <v>77</v>
      </c>
      <c r="C1400" s="3" t="str">
        <f>"011615270"</f>
        <v>011615270</v>
      </c>
      <c r="D1400" s="3" t="s">
        <v>2604</v>
      </c>
      <c r="E1400" s="3" t="s">
        <v>2887</v>
      </c>
      <c r="F1400" s="3" t="s">
        <v>2888</v>
      </c>
      <c r="G1400" s="3">
        <v>515.17999999999995</v>
      </c>
    </row>
    <row r="1401" spans="1:7" x14ac:dyDescent="0.25">
      <c r="A1401" s="1" t="s">
        <v>3169</v>
      </c>
      <c r="B1401" s="2">
        <v>77</v>
      </c>
      <c r="C1401" s="3" t="str">
        <f>"011615271"</f>
        <v>011615271</v>
      </c>
      <c r="D1401" s="3" t="s">
        <v>2604</v>
      </c>
      <c r="E1401" s="3" t="s">
        <v>2889</v>
      </c>
      <c r="F1401" s="3" t="s">
        <v>2890</v>
      </c>
      <c r="G1401" s="3">
        <v>515.17999999999995</v>
      </c>
    </row>
    <row r="1402" spans="1:7" x14ac:dyDescent="0.25">
      <c r="A1402" s="1" t="s">
        <v>3169</v>
      </c>
      <c r="B1402" s="2">
        <v>77</v>
      </c>
      <c r="C1402" s="3" t="str">
        <f>"011615272"</f>
        <v>011615272</v>
      </c>
      <c r="D1402" s="3" t="s">
        <v>2604</v>
      </c>
      <c r="E1402" s="3"/>
      <c r="F1402" s="3" t="s">
        <v>2891</v>
      </c>
      <c r="G1402" s="3">
        <v>515.17999999999995</v>
      </c>
    </row>
    <row r="1403" spans="1:7" x14ac:dyDescent="0.25">
      <c r="A1403" s="1" t="s">
        <v>3169</v>
      </c>
      <c r="B1403" s="2">
        <v>77</v>
      </c>
      <c r="C1403" s="3" t="str">
        <f>"011615273"</f>
        <v>011615273</v>
      </c>
      <c r="D1403" s="3" t="s">
        <v>2604</v>
      </c>
      <c r="E1403" s="3"/>
      <c r="F1403" s="3" t="s">
        <v>2892</v>
      </c>
      <c r="G1403" s="3">
        <v>515.17999999999995</v>
      </c>
    </row>
    <row r="1404" spans="1:7" x14ac:dyDescent="0.25">
      <c r="A1404" s="1" t="s">
        <v>3169</v>
      </c>
      <c r="B1404" s="2">
        <v>77</v>
      </c>
      <c r="C1404" s="3" t="str">
        <f>"011615274"</f>
        <v>011615274</v>
      </c>
      <c r="D1404" s="3" t="s">
        <v>2604</v>
      </c>
      <c r="E1404" s="3" t="s">
        <v>2893</v>
      </c>
      <c r="F1404" s="3" t="s">
        <v>2894</v>
      </c>
      <c r="G1404" s="3">
        <v>515.17999999999995</v>
      </c>
    </row>
    <row r="1405" spans="1:7" x14ac:dyDescent="0.25">
      <c r="A1405" s="1" t="s">
        <v>3169</v>
      </c>
      <c r="B1405" s="2">
        <v>77</v>
      </c>
      <c r="C1405" s="3" t="str">
        <f>"011615275"</f>
        <v>011615275</v>
      </c>
      <c r="D1405" s="3" t="s">
        <v>2604</v>
      </c>
      <c r="E1405" s="3" t="s">
        <v>2895</v>
      </c>
      <c r="F1405" s="3" t="s">
        <v>2896</v>
      </c>
      <c r="G1405" s="3">
        <v>515.17999999999995</v>
      </c>
    </row>
    <row r="1406" spans="1:7" x14ac:dyDescent="0.25">
      <c r="A1406" s="1" t="s">
        <v>3169</v>
      </c>
      <c r="B1406" s="2">
        <v>77</v>
      </c>
      <c r="C1406" s="3" t="str">
        <f>"011615276"</f>
        <v>011615276</v>
      </c>
      <c r="D1406" s="3" t="s">
        <v>2604</v>
      </c>
      <c r="E1406" s="3" t="s">
        <v>2897</v>
      </c>
      <c r="F1406" s="3" t="s">
        <v>2898</v>
      </c>
      <c r="G1406" s="3">
        <v>515.17999999999995</v>
      </c>
    </row>
    <row r="1407" spans="1:7" x14ac:dyDescent="0.25">
      <c r="A1407" s="1" t="s">
        <v>3169</v>
      </c>
      <c r="B1407" s="2">
        <v>77</v>
      </c>
      <c r="C1407" s="3" t="str">
        <f>"011615277"</f>
        <v>011615277</v>
      </c>
      <c r="D1407" s="3" t="s">
        <v>2604</v>
      </c>
      <c r="E1407" s="3" t="s">
        <v>2899</v>
      </c>
      <c r="F1407" s="3" t="s">
        <v>2900</v>
      </c>
      <c r="G1407" s="3">
        <v>515.17999999999995</v>
      </c>
    </row>
    <row r="1408" spans="1:7" x14ac:dyDescent="0.25">
      <c r="A1408" s="1" t="s">
        <v>3169</v>
      </c>
      <c r="B1408" s="2">
        <v>77</v>
      </c>
      <c r="C1408" s="3" t="str">
        <f>"011615278"</f>
        <v>011615278</v>
      </c>
      <c r="D1408" s="3" t="s">
        <v>2604</v>
      </c>
      <c r="E1408" s="3" t="s">
        <v>2901</v>
      </c>
      <c r="F1408" s="3" t="s">
        <v>2902</v>
      </c>
      <c r="G1408" s="3">
        <v>515.17999999999995</v>
      </c>
    </row>
    <row r="1409" spans="1:7" x14ac:dyDescent="0.25">
      <c r="A1409" s="1" t="s">
        <v>3169</v>
      </c>
      <c r="B1409" s="2">
        <v>77</v>
      </c>
      <c r="C1409" s="3" t="str">
        <f>"011615279"</f>
        <v>011615279</v>
      </c>
      <c r="D1409" s="3" t="s">
        <v>2604</v>
      </c>
      <c r="E1409" s="3"/>
      <c r="F1409" s="3" t="s">
        <v>2903</v>
      </c>
      <c r="G1409" s="3">
        <v>515.17999999999995</v>
      </c>
    </row>
    <row r="1410" spans="1:7" x14ac:dyDescent="0.25">
      <c r="A1410" s="1" t="s">
        <v>3169</v>
      </c>
      <c r="B1410" s="2">
        <v>77</v>
      </c>
      <c r="C1410" s="3" t="str">
        <f>"011615280"</f>
        <v>011615280</v>
      </c>
      <c r="D1410" s="3" t="s">
        <v>2604</v>
      </c>
      <c r="E1410" s="3" t="s">
        <v>2904</v>
      </c>
      <c r="F1410" s="3" t="s">
        <v>2905</v>
      </c>
      <c r="G1410" s="3">
        <v>515.17999999999995</v>
      </c>
    </row>
    <row r="1411" spans="1:7" x14ac:dyDescent="0.25">
      <c r="A1411" s="1" t="s">
        <v>3169</v>
      </c>
      <c r="B1411" s="2">
        <v>77</v>
      </c>
      <c r="C1411" s="3" t="str">
        <f>"011615281"</f>
        <v>011615281</v>
      </c>
      <c r="D1411" s="3" t="s">
        <v>2604</v>
      </c>
      <c r="E1411" s="3" t="s">
        <v>2906</v>
      </c>
      <c r="F1411" s="3" t="s">
        <v>2907</v>
      </c>
      <c r="G1411" s="3">
        <v>515.17999999999995</v>
      </c>
    </row>
    <row r="1412" spans="1:7" x14ac:dyDescent="0.25">
      <c r="A1412" s="1" t="s">
        <v>3169</v>
      </c>
      <c r="B1412" s="2">
        <v>77</v>
      </c>
      <c r="C1412" s="3" t="str">
        <f>"011615282"</f>
        <v>011615282</v>
      </c>
      <c r="D1412" s="3" t="s">
        <v>2604</v>
      </c>
      <c r="E1412" s="3" t="s">
        <v>2908</v>
      </c>
      <c r="F1412" s="3" t="s">
        <v>2909</v>
      </c>
      <c r="G1412" s="3">
        <v>515.17999999999995</v>
      </c>
    </row>
    <row r="1413" spans="1:7" x14ac:dyDescent="0.25">
      <c r="A1413" s="1" t="s">
        <v>3169</v>
      </c>
      <c r="B1413" s="2">
        <v>77</v>
      </c>
      <c r="C1413" s="3" t="str">
        <f>"011615283"</f>
        <v>011615283</v>
      </c>
      <c r="D1413" s="3" t="s">
        <v>2604</v>
      </c>
      <c r="E1413" s="3" t="s">
        <v>2910</v>
      </c>
      <c r="F1413" s="3" t="s">
        <v>2911</v>
      </c>
      <c r="G1413" s="3">
        <v>515.17999999999995</v>
      </c>
    </row>
    <row r="1414" spans="1:7" x14ac:dyDescent="0.25">
      <c r="A1414" s="1" t="s">
        <v>3169</v>
      </c>
      <c r="B1414" s="2">
        <v>77</v>
      </c>
      <c r="C1414" s="3" t="str">
        <f>"011615284"</f>
        <v>011615284</v>
      </c>
      <c r="D1414" s="3" t="s">
        <v>2604</v>
      </c>
      <c r="E1414" s="3" t="s">
        <v>2912</v>
      </c>
      <c r="F1414" s="3" t="s">
        <v>2913</v>
      </c>
      <c r="G1414" s="3">
        <v>515.17999999999995</v>
      </c>
    </row>
    <row r="1415" spans="1:7" x14ac:dyDescent="0.25">
      <c r="A1415" s="1" t="s">
        <v>3169</v>
      </c>
      <c r="B1415" s="2">
        <v>77</v>
      </c>
      <c r="C1415" s="3" t="str">
        <f>"011615285"</f>
        <v>011615285</v>
      </c>
      <c r="D1415" s="3" t="s">
        <v>2604</v>
      </c>
      <c r="E1415" s="3"/>
      <c r="F1415" s="3" t="s">
        <v>2914</v>
      </c>
      <c r="G1415" s="3">
        <v>515.17999999999995</v>
      </c>
    </row>
    <row r="1416" spans="1:7" x14ac:dyDescent="0.25">
      <c r="A1416" s="1" t="s">
        <v>3169</v>
      </c>
      <c r="B1416" s="2">
        <v>77</v>
      </c>
      <c r="C1416" s="3" t="str">
        <f>"011615286"</f>
        <v>011615286</v>
      </c>
      <c r="D1416" s="3" t="s">
        <v>2604</v>
      </c>
      <c r="E1416" s="3"/>
      <c r="F1416" s="3" t="s">
        <v>2915</v>
      </c>
      <c r="G1416" s="3">
        <v>515.17999999999995</v>
      </c>
    </row>
    <row r="1417" spans="1:7" x14ac:dyDescent="0.25">
      <c r="A1417" s="1" t="s">
        <v>3169</v>
      </c>
      <c r="B1417" s="2">
        <v>77</v>
      </c>
      <c r="C1417" s="3" t="str">
        <f>"011615287"</f>
        <v>011615287</v>
      </c>
      <c r="D1417" s="3" t="s">
        <v>2604</v>
      </c>
      <c r="E1417" s="3" t="s">
        <v>2916</v>
      </c>
      <c r="F1417" s="3" t="s">
        <v>2917</v>
      </c>
      <c r="G1417" s="3">
        <v>515.17999999999995</v>
      </c>
    </row>
    <row r="1418" spans="1:7" x14ac:dyDescent="0.25">
      <c r="A1418" s="1" t="s">
        <v>3169</v>
      </c>
      <c r="B1418" s="2">
        <v>77</v>
      </c>
      <c r="C1418" s="3" t="str">
        <f>"011615288"</f>
        <v>011615288</v>
      </c>
      <c r="D1418" s="3" t="s">
        <v>2604</v>
      </c>
      <c r="E1418" s="3" t="s">
        <v>2918</v>
      </c>
      <c r="F1418" s="3" t="s">
        <v>2919</v>
      </c>
      <c r="G1418" s="3">
        <v>515.17999999999995</v>
      </c>
    </row>
    <row r="1419" spans="1:7" x14ac:dyDescent="0.25">
      <c r="A1419" s="1" t="s">
        <v>3169</v>
      </c>
      <c r="B1419" s="2">
        <v>77</v>
      </c>
      <c r="C1419" s="3" t="str">
        <f>"011615289"</f>
        <v>011615289</v>
      </c>
      <c r="D1419" s="3" t="s">
        <v>2604</v>
      </c>
      <c r="E1419" s="3" t="s">
        <v>2920</v>
      </c>
      <c r="F1419" s="3" t="s">
        <v>2921</v>
      </c>
      <c r="G1419" s="3">
        <v>515.17999999999995</v>
      </c>
    </row>
    <row r="1420" spans="1:7" x14ac:dyDescent="0.25">
      <c r="A1420" s="1" t="s">
        <v>3169</v>
      </c>
      <c r="B1420" s="2">
        <v>77</v>
      </c>
      <c r="C1420" s="3" t="str">
        <f>"011615290"</f>
        <v>011615290</v>
      </c>
      <c r="D1420" s="3" t="s">
        <v>2604</v>
      </c>
      <c r="E1420" s="3" t="s">
        <v>2922</v>
      </c>
      <c r="F1420" s="3" t="s">
        <v>2923</v>
      </c>
      <c r="G1420" s="3">
        <v>515.17999999999995</v>
      </c>
    </row>
    <row r="1421" spans="1:7" x14ac:dyDescent="0.25">
      <c r="A1421" s="1" t="s">
        <v>3169</v>
      </c>
      <c r="B1421" s="2">
        <v>77</v>
      </c>
      <c r="C1421" s="3" t="str">
        <f>"011615291"</f>
        <v>011615291</v>
      </c>
      <c r="D1421" s="3" t="s">
        <v>2604</v>
      </c>
      <c r="E1421" s="3" t="s">
        <v>2924</v>
      </c>
      <c r="F1421" s="3" t="s">
        <v>2925</v>
      </c>
      <c r="G1421" s="3">
        <v>515.17999999999995</v>
      </c>
    </row>
    <row r="1422" spans="1:7" x14ac:dyDescent="0.25">
      <c r="A1422" s="1" t="s">
        <v>3169</v>
      </c>
      <c r="B1422" s="2">
        <v>77</v>
      </c>
      <c r="C1422" s="3" t="str">
        <f>"011615292"</f>
        <v>011615292</v>
      </c>
      <c r="D1422" s="3" t="s">
        <v>2604</v>
      </c>
      <c r="E1422" s="3" t="s">
        <v>2926</v>
      </c>
      <c r="F1422" s="3" t="s">
        <v>2927</v>
      </c>
      <c r="G1422" s="3">
        <v>515.17999999999995</v>
      </c>
    </row>
    <row r="1423" spans="1:7" x14ac:dyDescent="0.25">
      <c r="A1423" s="1" t="s">
        <v>3169</v>
      </c>
      <c r="B1423" s="2">
        <v>77</v>
      </c>
      <c r="C1423" s="3" t="str">
        <f>"011615293"</f>
        <v>011615293</v>
      </c>
      <c r="D1423" s="3" t="s">
        <v>2604</v>
      </c>
      <c r="E1423" s="3" t="s">
        <v>2928</v>
      </c>
      <c r="F1423" s="3" t="s">
        <v>2929</v>
      </c>
      <c r="G1423" s="3">
        <v>515.17999999999995</v>
      </c>
    </row>
    <row r="1424" spans="1:7" x14ac:dyDescent="0.25">
      <c r="A1424" s="1" t="s">
        <v>3169</v>
      </c>
      <c r="B1424" s="2">
        <v>77</v>
      </c>
      <c r="C1424" s="3" t="str">
        <f>"011615294"</f>
        <v>011615294</v>
      </c>
      <c r="D1424" s="3" t="s">
        <v>2604</v>
      </c>
      <c r="E1424" s="3" t="s">
        <v>2930</v>
      </c>
      <c r="F1424" s="3" t="s">
        <v>2931</v>
      </c>
      <c r="G1424" s="3">
        <v>515.17999999999995</v>
      </c>
    </row>
    <row r="1425" spans="1:7" x14ac:dyDescent="0.25">
      <c r="A1425" s="1" t="s">
        <v>3169</v>
      </c>
      <c r="B1425" s="2">
        <v>77</v>
      </c>
      <c r="C1425" s="3" t="str">
        <f>"011615295"</f>
        <v>011615295</v>
      </c>
      <c r="D1425" s="3" t="s">
        <v>2604</v>
      </c>
      <c r="E1425" s="3" t="s">
        <v>2932</v>
      </c>
      <c r="F1425" s="3" t="s">
        <v>2933</v>
      </c>
      <c r="G1425" s="3">
        <v>515.17999999999995</v>
      </c>
    </row>
    <row r="1426" spans="1:7" x14ac:dyDescent="0.25">
      <c r="A1426" s="1" t="s">
        <v>3169</v>
      </c>
      <c r="B1426" s="2">
        <v>77</v>
      </c>
      <c r="C1426" s="3" t="str">
        <f>"011615296"</f>
        <v>011615296</v>
      </c>
      <c r="D1426" s="3" t="s">
        <v>2604</v>
      </c>
      <c r="E1426" s="3" t="s">
        <v>2934</v>
      </c>
      <c r="F1426" s="3" t="s">
        <v>2935</v>
      </c>
      <c r="G1426" s="3">
        <v>515.17999999999995</v>
      </c>
    </row>
    <row r="1427" spans="1:7" x14ac:dyDescent="0.25">
      <c r="A1427" s="1" t="s">
        <v>3169</v>
      </c>
      <c r="B1427" s="2">
        <v>77</v>
      </c>
      <c r="C1427" s="3" t="str">
        <f>"011615297"</f>
        <v>011615297</v>
      </c>
      <c r="D1427" s="3" t="s">
        <v>2604</v>
      </c>
      <c r="E1427" s="3" t="s">
        <v>2936</v>
      </c>
      <c r="F1427" s="3" t="s">
        <v>2937</v>
      </c>
      <c r="G1427" s="3">
        <v>515.17999999999995</v>
      </c>
    </row>
    <row r="1428" spans="1:7" x14ac:dyDescent="0.25">
      <c r="A1428" s="1" t="s">
        <v>3169</v>
      </c>
      <c r="B1428" s="2">
        <v>77</v>
      </c>
      <c r="C1428" s="3" t="str">
        <f>"011615298"</f>
        <v>011615298</v>
      </c>
      <c r="D1428" s="3" t="s">
        <v>2604</v>
      </c>
      <c r="E1428" s="3" t="s">
        <v>2938</v>
      </c>
      <c r="F1428" s="3" t="s">
        <v>2939</v>
      </c>
      <c r="G1428" s="3">
        <v>515.17999999999995</v>
      </c>
    </row>
    <row r="1429" spans="1:7" x14ac:dyDescent="0.25">
      <c r="A1429" s="1" t="s">
        <v>3169</v>
      </c>
      <c r="B1429" s="2">
        <v>77</v>
      </c>
      <c r="C1429" s="3" t="str">
        <f>"011615299"</f>
        <v>011615299</v>
      </c>
      <c r="D1429" s="3" t="s">
        <v>2604</v>
      </c>
      <c r="E1429" s="3" t="s">
        <v>2940</v>
      </c>
      <c r="F1429" s="3" t="s">
        <v>2941</v>
      </c>
      <c r="G1429" s="3">
        <v>515.17999999999995</v>
      </c>
    </row>
    <row r="1430" spans="1:7" x14ac:dyDescent="0.25">
      <c r="A1430" s="1" t="s">
        <v>3169</v>
      </c>
      <c r="B1430" s="2">
        <v>77</v>
      </c>
      <c r="C1430" s="3" t="str">
        <f>"011615300"</f>
        <v>011615300</v>
      </c>
      <c r="D1430" s="3" t="s">
        <v>2604</v>
      </c>
      <c r="E1430" s="3" t="s">
        <v>2942</v>
      </c>
      <c r="F1430" s="3" t="s">
        <v>2943</v>
      </c>
      <c r="G1430" s="3">
        <v>515.17999999999995</v>
      </c>
    </row>
    <row r="1431" spans="1:7" x14ac:dyDescent="0.25">
      <c r="A1431" s="1" t="s">
        <v>3169</v>
      </c>
      <c r="B1431" s="2">
        <v>77</v>
      </c>
      <c r="C1431" s="3" t="str">
        <f>"011615301"</f>
        <v>011615301</v>
      </c>
      <c r="D1431" s="3" t="s">
        <v>2604</v>
      </c>
      <c r="E1431" s="3" t="s">
        <v>2944</v>
      </c>
      <c r="F1431" s="3" t="s">
        <v>2945</v>
      </c>
      <c r="G1431" s="3">
        <v>515.17999999999995</v>
      </c>
    </row>
    <row r="1432" spans="1:7" x14ac:dyDescent="0.25">
      <c r="A1432" s="1" t="s">
        <v>3169</v>
      </c>
      <c r="B1432" s="2">
        <v>77</v>
      </c>
      <c r="C1432" s="3" t="str">
        <f>"011615302"</f>
        <v>011615302</v>
      </c>
      <c r="D1432" s="3" t="s">
        <v>2604</v>
      </c>
      <c r="E1432" s="3" t="s">
        <v>2946</v>
      </c>
      <c r="F1432" s="3" t="s">
        <v>2947</v>
      </c>
      <c r="G1432" s="3">
        <v>515.17999999999995</v>
      </c>
    </row>
    <row r="1433" spans="1:7" x14ac:dyDescent="0.25">
      <c r="A1433" s="1" t="s">
        <v>3169</v>
      </c>
      <c r="B1433" s="2">
        <v>77</v>
      </c>
      <c r="C1433" s="3" t="str">
        <f>"011615303"</f>
        <v>011615303</v>
      </c>
      <c r="D1433" s="3" t="s">
        <v>2604</v>
      </c>
      <c r="E1433" s="3"/>
      <c r="F1433" s="3" t="s">
        <v>2948</v>
      </c>
      <c r="G1433" s="3">
        <v>515.17999999999995</v>
      </c>
    </row>
    <row r="1434" spans="1:7" x14ac:dyDescent="0.25">
      <c r="A1434" s="1" t="s">
        <v>3169</v>
      </c>
      <c r="B1434" s="2">
        <v>77</v>
      </c>
      <c r="C1434" s="3" t="str">
        <f>"011615304"</f>
        <v>011615304</v>
      </c>
      <c r="D1434" s="3" t="s">
        <v>2604</v>
      </c>
      <c r="E1434" s="3" t="s">
        <v>2949</v>
      </c>
      <c r="F1434" s="3" t="s">
        <v>2950</v>
      </c>
      <c r="G1434" s="3">
        <v>515.17999999999995</v>
      </c>
    </row>
    <row r="1435" spans="1:7" x14ac:dyDescent="0.25">
      <c r="A1435" s="1" t="s">
        <v>3169</v>
      </c>
      <c r="B1435" s="2">
        <v>77</v>
      </c>
      <c r="C1435" s="3" t="str">
        <f>"011615305"</f>
        <v>011615305</v>
      </c>
      <c r="D1435" s="3" t="s">
        <v>2604</v>
      </c>
      <c r="E1435" s="3" t="s">
        <v>2951</v>
      </c>
      <c r="F1435" s="3" t="s">
        <v>2952</v>
      </c>
      <c r="G1435" s="3">
        <v>515.17999999999995</v>
      </c>
    </row>
    <row r="1436" spans="1:7" x14ac:dyDescent="0.25">
      <c r="A1436" s="1" t="s">
        <v>3169</v>
      </c>
      <c r="B1436" s="2">
        <v>77</v>
      </c>
      <c r="C1436" s="3" t="str">
        <f>"011615306"</f>
        <v>011615306</v>
      </c>
      <c r="D1436" s="3" t="s">
        <v>2604</v>
      </c>
      <c r="E1436" s="3" t="s">
        <v>2953</v>
      </c>
      <c r="F1436" s="3" t="s">
        <v>2954</v>
      </c>
      <c r="G1436" s="3">
        <v>515.17999999999995</v>
      </c>
    </row>
    <row r="1437" spans="1:7" x14ac:dyDescent="0.25">
      <c r="A1437" s="1" t="s">
        <v>3169</v>
      </c>
      <c r="B1437" s="2">
        <v>77</v>
      </c>
      <c r="C1437" s="3" t="str">
        <f>"011615307"</f>
        <v>011615307</v>
      </c>
      <c r="D1437" s="3" t="s">
        <v>2604</v>
      </c>
      <c r="E1437" s="3" t="s">
        <v>2955</v>
      </c>
      <c r="F1437" s="3" t="s">
        <v>2956</v>
      </c>
      <c r="G1437" s="3">
        <v>515.17999999999995</v>
      </c>
    </row>
    <row r="1438" spans="1:7" x14ac:dyDescent="0.25">
      <c r="A1438" s="1" t="s">
        <v>3169</v>
      </c>
      <c r="B1438" s="2">
        <v>77</v>
      </c>
      <c r="C1438" s="3" t="str">
        <f>"011615308"</f>
        <v>011615308</v>
      </c>
      <c r="D1438" s="3" t="s">
        <v>2604</v>
      </c>
      <c r="E1438" s="3" t="s">
        <v>2957</v>
      </c>
      <c r="F1438" s="3" t="s">
        <v>2958</v>
      </c>
      <c r="G1438" s="3">
        <v>515.17999999999995</v>
      </c>
    </row>
    <row r="1439" spans="1:7" x14ac:dyDescent="0.25">
      <c r="A1439" s="1" t="s">
        <v>3169</v>
      </c>
      <c r="B1439" s="2">
        <v>77</v>
      </c>
      <c r="C1439" s="3" t="str">
        <f>"011615309"</f>
        <v>011615309</v>
      </c>
      <c r="D1439" s="3" t="s">
        <v>2604</v>
      </c>
      <c r="E1439" s="3" t="s">
        <v>2959</v>
      </c>
      <c r="F1439" s="3" t="s">
        <v>2960</v>
      </c>
      <c r="G1439" s="3">
        <v>515.17999999999995</v>
      </c>
    </row>
    <row r="1440" spans="1:7" x14ac:dyDescent="0.25">
      <c r="A1440" s="1" t="s">
        <v>3169</v>
      </c>
      <c r="B1440" s="2">
        <v>77</v>
      </c>
      <c r="C1440" s="3" t="str">
        <f>"011615310"</f>
        <v>011615310</v>
      </c>
      <c r="D1440" s="3" t="s">
        <v>2604</v>
      </c>
      <c r="E1440" s="3" t="s">
        <v>2961</v>
      </c>
      <c r="F1440" s="3" t="s">
        <v>2962</v>
      </c>
      <c r="G1440" s="3">
        <v>515.17999999999995</v>
      </c>
    </row>
    <row r="1441" spans="1:7" x14ac:dyDescent="0.25">
      <c r="A1441" s="1" t="s">
        <v>3169</v>
      </c>
      <c r="B1441" s="2">
        <v>77</v>
      </c>
      <c r="C1441" s="3" t="str">
        <f>"011615311"</f>
        <v>011615311</v>
      </c>
      <c r="D1441" s="3" t="s">
        <v>2604</v>
      </c>
      <c r="E1441" s="3" t="s">
        <v>2963</v>
      </c>
      <c r="F1441" s="3" t="s">
        <v>2964</v>
      </c>
      <c r="G1441" s="3">
        <v>515.17999999999995</v>
      </c>
    </row>
    <row r="1442" spans="1:7" x14ac:dyDescent="0.25">
      <c r="A1442" s="1" t="s">
        <v>3169</v>
      </c>
      <c r="B1442" s="2">
        <v>77</v>
      </c>
      <c r="C1442" s="3" t="str">
        <f>"011615312"</f>
        <v>011615312</v>
      </c>
      <c r="D1442" s="3" t="s">
        <v>2604</v>
      </c>
      <c r="E1442" s="3" t="s">
        <v>2965</v>
      </c>
      <c r="F1442" s="3" t="s">
        <v>2966</v>
      </c>
      <c r="G1442" s="3">
        <v>515.17999999999995</v>
      </c>
    </row>
    <row r="1443" spans="1:7" x14ac:dyDescent="0.25">
      <c r="A1443" s="1" t="s">
        <v>3169</v>
      </c>
      <c r="B1443" s="2">
        <v>77</v>
      </c>
      <c r="C1443" s="3" t="str">
        <f>"011615313"</f>
        <v>011615313</v>
      </c>
      <c r="D1443" s="3" t="s">
        <v>2604</v>
      </c>
      <c r="E1443" s="3" t="s">
        <v>2967</v>
      </c>
      <c r="F1443" s="3" t="s">
        <v>2968</v>
      </c>
      <c r="G1443" s="3">
        <v>515.17999999999995</v>
      </c>
    </row>
    <row r="1444" spans="1:7" x14ac:dyDescent="0.25">
      <c r="A1444" s="1" t="s">
        <v>3169</v>
      </c>
      <c r="B1444" s="2">
        <v>77</v>
      </c>
      <c r="C1444" s="3" t="str">
        <f>"011615314"</f>
        <v>011615314</v>
      </c>
      <c r="D1444" s="3" t="s">
        <v>2604</v>
      </c>
      <c r="E1444" s="3" t="s">
        <v>2969</v>
      </c>
      <c r="F1444" s="3" t="s">
        <v>2970</v>
      </c>
      <c r="G1444" s="3">
        <v>515.17999999999995</v>
      </c>
    </row>
    <row r="1445" spans="1:7" x14ac:dyDescent="0.25">
      <c r="A1445" s="1" t="s">
        <v>3169</v>
      </c>
      <c r="B1445" s="2">
        <v>77</v>
      </c>
      <c r="C1445" s="3" t="str">
        <f>"011615315"</f>
        <v>011615315</v>
      </c>
      <c r="D1445" s="3" t="s">
        <v>2604</v>
      </c>
      <c r="E1445" s="3" t="s">
        <v>2971</v>
      </c>
      <c r="F1445" s="3" t="s">
        <v>2972</v>
      </c>
      <c r="G1445" s="3">
        <v>515.17999999999995</v>
      </c>
    </row>
    <row r="1446" spans="1:7" x14ac:dyDescent="0.25">
      <c r="A1446" s="1" t="s">
        <v>3169</v>
      </c>
      <c r="B1446" s="2">
        <v>77</v>
      </c>
      <c r="C1446" s="3" t="str">
        <f>"011615316"</f>
        <v>011615316</v>
      </c>
      <c r="D1446" s="3" t="s">
        <v>2604</v>
      </c>
      <c r="E1446" s="3" t="s">
        <v>2973</v>
      </c>
      <c r="F1446" s="3" t="s">
        <v>2974</v>
      </c>
      <c r="G1446" s="3">
        <v>515.17999999999995</v>
      </c>
    </row>
    <row r="1447" spans="1:7" x14ac:dyDescent="0.25">
      <c r="A1447" s="1" t="s">
        <v>3169</v>
      </c>
      <c r="B1447" s="2">
        <v>77</v>
      </c>
      <c r="C1447" s="3" t="str">
        <f>"011615317"</f>
        <v>011615317</v>
      </c>
      <c r="D1447" s="3" t="s">
        <v>2604</v>
      </c>
      <c r="E1447" s="3" t="s">
        <v>2975</v>
      </c>
      <c r="F1447" s="3" t="s">
        <v>2976</v>
      </c>
      <c r="G1447" s="3">
        <v>515.17999999999995</v>
      </c>
    </row>
    <row r="1448" spans="1:7" x14ac:dyDescent="0.25">
      <c r="A1448" s="1" t="s">
        <v>3169</v>
      </c>
      <c r="B1448" s="2">
        <v>77</v>
      </c>
      <c r="C1448" s="3" t="str">
        <f>"011615318"</f>
        <v>011615318</v>
      </c>
      <c r="D1448" s="3" t="s">
        <v>2604</v>
      </c>
      <c r="E1448" s="3" t="s">
        <v>2977</v>
      </c>
      <c r="F1448" s="3" t="s">
        <v>2978</v>
      </c>
      <c r="G1448" s="3">
        <v>515.17999999999995</v>
      </c>
    </row>
    <row r="1449" spans="1:7" x14ac:dyDescent="0.25">
      <c r="A1449" s="1" t="s">
        <v>3169</v>
      </c>
      <c r="B1449" s="2">
        <v>77</v>
      </c>
      <c r="C1449" s="3" t="str">
        <f>"011615319"</f>
        <v>011615319</v>
      </c>
      <c r="D1449" s="3" t="s">
        <v>2604</v>
      </c>
      <c r="E1449" s="3" t="s">
        <v>2979</v>
      </c>
      <c r="F1449" s="3" t="s">
        <v>2980</v>
      </c>
      <c r="G1449" s="3">
        <v>515.17999999999995</v>
      </c>
    </row>
    <row r="1450" spans="1:7" x14ac:dyDescent="0.25">
      <c r="A1450" s="1" t="s">
        <v>3169</v>
      </c>
      <c r="B1450" s="2">
        <v>77</v>
      </c>
      <c r="C1450" s="3" t="str">
        <f>"011615320"</f>
        <v>011615320</v>
      </c>
      <c r="D1450" s="3" t="s">
        <v>2604</v>
      </c>
      <c r="E1450" s="3" t="s">
        <v>2981</v>
      </c>
      <c r="F1450" s="3" t="s">
        <v>2982</v>
      </c>
      <c r="G1450" s="3">
        <v>515.17999999999995</v>
      </c>
    </row>
    <row r="1451" spans="1:7" x14ac:dyDescent="0.25">
      <c r="A1451" s="1" t="s">
        <v>3169</v>
      </c>
      <c r="B1451" s="2">
        <v>77</v>
      </c>
      <c r="C1451" s="3" t="str">
        <f>"011615321"</f>
        <v>011615321</v>
      </c>
      <c r="D1451" s="3" t="s">
        <v>2604</v>
      </c>
      <c r="E1451" s="3" t="s">
        <v>2983</v>
      </c>
      <c r="F1451" s="3" t="s">
        <v>2984</v>
      </c>
      <c r="G1451" s="3">
        <v>515.17999999999995</v>
      </c>
    </row>
    <row r="1452" spans="1:7" x14ac:dyDescent="0.25">
      <c r="A1452" s="1" t="s">
        <v>3169</v>
      </c>
      <c r="B1452" s="2">
        <v>77</v>
      </c>
      <c r="C1452" s="3" t="str">
        <f>"011615322"</f>
        <v>011615322</v>
      </c>
      <c r="D1452" s="3" t="s">
        <v>2604</v>
      </c>
      <c r="E1452" s="3" t="s">
        <v>2985</v>
      </c>
      <c r="F1452" s="3" t="s">
        <v>2986</v>
      </c>
      <c r="G1452" s="3">
        <v>515.17999999999995</v>
      </c>
    </row>
    <row r="1453" spans="1:7" x14ac:dyDescent="0.25">
      <c r="A1453" s="1" t="s">
        <v>3169</v>
      </c>
      <c r="B1453" s="2">
        <v>77</v>
      </c>
      <c r="C1453" s="3" t="str">
        <f>"011615323"</f>
        <v>011615323</v>
      </c>
      <c r="D1453" s="3" t="s">
        <v>2604</v>
      </c>
      <c r="E1453" s="3" t="s">
        <v>2987</v>
      </c>
      <c r="F1453" s="3" t="s">
        <v>2988</v>
      </c>
      <c r="G1453" s="3">
        <v>515.17999999999995</v>
      </c>
    </row>
    <row r="1454" spans="1:7" x14ac:dyDescent="0.25">
      <c r="A1454" s="1" t="s">
        <v>3169</v>
      </c>
      <c r="B1454" s="2">
        <v>77</v>
      </c>
      <c r="C1454" s="3" t="str">
        <f>"011615324"</f>
        <v>011615324</v>
      </c>
      <c r="D1454" s="3" t="s">
        <v>2604</v>
      </c>
      <c r="E1454" s="3" t="s">
        <v>2989</v>
      </c>
      <c r="F1454" s="3" t="s">
        <v>2990</v>
      </c>
      <c r="G1454" s="3">
        <v>515.17999999999995</v>
      </c>
    </row>
    <row r="1455" spans="1:7" x14ac:dyDescent="0.25">
      <c r="A1455" s="1" t="s">
        <v>3169</v>
      </c>
      <c r="B1455" s="2">
        <v>77</v>
      </c>
      <c r="C1455" s="3" t="str">
        <f>"011615325"</f>
        <v>011615325</v>
      </c>
      <c r="D1455" s="3" t="s">
        <v>2604</v>
      </c>
      <c r="E1455" s="3"/>
      <c r="F1455" s="3" t="s">
        <v>2991</v>
      </c>
      <c r="G1455" s="3">
        <v>515.17999999999995</v>
      </c>
    </row>
    <row r="1456" spans="1:7" x14ac:dyDescent="0.25">
      <c r="A1456" s="1" t="s">
        <v>3169</v>
      </c>
      <c r="B1456" s="2">
        <v>77</v>
      </c>
      <c r="C1456" s="3" t="str">
        <f>"011615326"</f>
        <v>011615326</v>
      </c>
      <c r="D1456" s="3" t="s">
        <v>2604</v>
      </c>
      <c r="E1456" s="3"/>
      <c r="F1456" s="3" t="s">
        <v>2992</v>
      </c>
      <c r="G1456" s="3">
        <v>515.17999999999995</v>
      </c>
    </row>
    <row r="1457" spans="1:7" x14ac:dyDescent="0.25">
      <c r="A1457" s="1" t="s">
        <v>3169</v>
      </c>
      <c r="B1457" s="2">
        <v>77</v>
      </c>
      <c r="C1457" s="3" t="str">
        <f>"011615327"</f>
        <v>011615327</v>
      </c>
      <c r="D1457" s="3" t="s">
        <v>2604</v>
      </c>
      <c r="E1457" s="3" t="s">
        <v>2993</v>
      </c>
      <c r="F1457" s="3" t="s">
        <v>2994</v>
      </c>
      <c r="G1457" s="3">
        <v>515.17999999999995</v>
      </c>
    </row>
    <row r="1458" spans="1:7" x14ac:dyDescent="0.25">
      <c r="A1458" s="1" t="s">
        <v>3169</v>
      </c>
      <c r="B1458" s="2">
        <v>77</v>
      </c>
      <c r="C1458" s="3" t="str">
        <f>"011615328"</f>
        <v>011615328</v>
      </c>
      <c r="D1458" s="3" t="s">
        <v>2604</v>
      </c>
      <c r="E1458" s="3" t="s">
        <v>2995</v>
      </c>
      <c r="F1458" s="3" t="s">
        <v>2996</v>
      </c>
      <c r="G1458" s="3">
        <v>515.17999999999995</v>
      </c>
    </row>
    <row r="1459" spans="1:7" x14ac:dyDescent="0.25">
      <c r="A1459" s="1" t="s">
        <v>3169</v>
      </c>
      <c r="B1459" s="2">
        <v>77</v>
      </c>
      <c r="C1459" s="3" t="str">
        <f>"011615329"</f>
        <v>011615329</v>
      </c>
      <c r="D1459" s="3" t="s">
        <v>2604</v>
      </c>
      <c r="E1459" s="3"/>
      <c r="F1459" s="3" t="s">
        <v>2997</v>
      </c>
      <c r="G1459" s="3">
        <v>515.17999999999995</v>
      </c>
    </row>
    <row r="1460" spans="1:7" x14ac:dyDescent="0.25">
      <c r="A1460" s="1" t="s">
        <v>3169</v>
      </c>
      <c r="B1460" s="2">
        <v>77</v>
      </c>
      <c r="C1460" s="3" t="str">
        <f>"011615330"</f>
        <v>011615330</v>
      </c>
      <c r="D1460" s="3" t="s">
        <v>2604</v>
      </c>
      <c r="E1460" s="3"/>
      <c r="F1460" s="3" t="s">
        <v>2998</v>
      </c>
      <c r="G1460" s="3">
        <v>515.17999999999995</v>
      </c>
    </row>
    <row r="1461" spans="1:7" x14ac:dyDescent="0.25">
      <c r="A1461" s="1" t="s">
        <v>3169</v>
      </c>
      <c r="B1461" s="2">
        <v>77</v>
      </c>
      <c r="C1461" s="3" t="str">
        <f>"011615331"</f>
        <v>011615331</v>
      </c>
      <c r="D1461" s="3" t="s">
        <v>2604</v>
      </c>
      <c r="E1461" s="3" t="s">
        <v>2999</v>
      </c>
      <c r="F1461" s="3" t="s">
        <v>3000</v>
      </c>
      <c r="G1461" s="3">
        <v>515.17999999999995</v>
      </c>
    </row>
    <row r="1462" spans="1:7" x14ac:dyDescent="0.25">
      <c r="A1462" s="1" t="s">
        <v>3169</v>
      </c>
      <c r="B1462" s="2">
        <v>77</v>
      </c>
      <c r="C1462" s="3" t="str">
        <f>"011615332"</f>
        <v>011615332</v>
      </c>
      <c r="D1462" s="3" t="s">
        <v>2604</v>
      </c>
      <c r="E1462" s="3" t="s">
        <v>3001</v>
      </c>
      <c r="F1462" s="3" t="s">
        <v>3002</v>
      </c>
      <c r="G1462" s="3">
        <v>515.17999999999995</v>
      </c>
    </row>
    <row r="1463" spans="1:7" x14ac:dyDescent="0.25">
      <c r="A1463" s="1" t="s">
        <v>3169</v>
      </c>
      <c r="B1463" s="2">
        <v>77</v>
      </c>
      <c r="C1463" s="3" t="str">
        <f>"011615333"</f>
        <v>011615333</v>
      </c>
      <c r="D1463" s="3" t="s">
        <v>2604</v>
      </c>
      <c r="E1463" s="3"/>
      <c r="F1463" s="3" t="s">
        <v>3003</v>
      </c>
      <c r="G1463" s="3">
        <v>515.17999999999995</v>
      </c>
    </row>
    <row r="1464" spans="1:7" x14ac:dyDescent="0.25">
      <c r="A1464" s="1" t="s">
        <v>3169</v>
      </c>
      <c r="B1464" s="2">
        <v>77</v>
      </c>
      <c r="C1464" s="3" t="str">
        <f>"011615334"</f>
        <v>011615334</v>
      </c>
      <c r="D1464" s="3" t="s">
        <v>2604</v>
      </c>
      <c r="E1464" s="3"/>
      <c r="F1464" s="3" t="s">
        <v>3004</v>
      </c>
      <c r="G1464" s="3">
        <v>515.17999999999995</v>
      </c>
    </row>
    <row r="1465" spans="1:7" x14ac:dyDescent="0.25">
      <c r="A1465" s="1" t="s">
        <v>3169</v>
      </c>
      <c r="B1465" s="2">
        <v>77</v>
      </c>
      <c r="C1465" s="3" t="str">
        <f>"011615335"</f>
        <v>011615335</v>
      </c>
      <c r="D1465" s="3" t="s">
        <v>2604</v>
      </c>
      <c r="E1465" s="3" t="s">
        <v>3005</v>
      </c>
      <c r="F1465" s="3" t="s">
        <v>3006</v>
      </c>
      <c r="G1465" s="3">
        <v>515.17999999999995</v>
      </c>
    </row>
    <row r="1466" spans="1:7" x14ac:dyDescent="0.25">
      <c r="A1466" s="1" t="s">
        <v>3169</v>
      </c>
      <c r="B1466" s="2">
        <v>77</v>
      </c>
      <c r="C1466" s="3" t="str">
        <f>"011615336"</f>
        <v>011615336</v>
      </c>
      <c r="D1466" s="3" t="s">
        <v>2604</v>
      </c>
      <c r="E1466" s="3" t="s">
        <v>3007</v>
      </c>
      <c r="F1466" s="3" t="s">
        <v>3008</v>
      </c>
      <c r="G1466" s="3">
        <v>515.17999999999995</v>
      </c>
    </row>
    <row r="1467" spans="1:7" x14ac:dyDescent="0.25">
      <c r="A1467" s="1" t="s">
        <v>3169</v>
      </c>
      <c r="B1467" s="2">
        <v>77</v>
      </c>
      <c r="C1467" s="3" t="str">
        <f>"011615337"</f>
        <v>011615337</v>
      </c>
      <c r="D1467" s="3" t="s">
        <v>2604</v>
      </c>
      <c r="E1467" s="3" t="s">
        <v>3009</v>
      </c>
      <c r="F1467" s="3" t="s">
        <v>3010</v>
      </c>
      <c r="G1467" s="3">
        <v>515.17999999999995</v>
      </c>
    </row>
    <row r="1468" spans="1:7" x14ac:dyDescent="0.25">
      <c r="A1468" s="1" t="s">
        <v>3169</v>
      </c>
      <c r="B1468" s="2">
        <v>77</v>
      </c>
      <c r="C1468" s="3" t="str">
        <f>"011615338"</f>
        <v>011615338</v>
      </c>
      <c r="D1468" s="3" t="s">
        <v>2604</v>
      </c>
      <c r="E1468" s="3"/>
      <c r="F1468" s="3" t="s">
        <v>3011</v>
      </c>
      <c r="G1468" s="3">
        <v>515.17999999999995</v>
      </c>
    </row>
    <row r="1469" spans="1:7" x14ac:dyDescent="0.25">
      <c r="A1469" s="1" t="s">
        <v>3169</v>
      </c>
      <c r="B1469" s="2">
        <v>77</v>
      </c>
      <c r="C1469" s="3" t="str">
        <f>"011615339"</f>
        <v>011615339</v>
      </c>
      <c r="D1469" s="3" t="s">
        <v>2604</v>
      </c>
      <c r="E1469" s="3"/>
      <c r="F1469" s="3" t="s">
        <v>3012</v>
      </c>
      <c r="G1469" s="3">
        <v>515.17999999999995</v>
      </c>
    </row>
    <row r="1470" spans="1:7" x14ac:dyDescent="0.25">
      <c r="A1470" s="1" t="s">
        <v>3169</v>
      </c>
      <c r="B1470" s="2">
        <v>77</v>
      </c>
      <c r="C1470" s="3" t="str">
        <f>"011615340"</f>
        <v>011615340</v>
      </c>
      <c r="D1470" s="3" t="s">
        <v>2604</v>
      </c>
      <c r="E1470" s="3" t="s">
        <v>3013</v>
      </c>
      <c r="F1470" s="3" t="s">
        <v>3014</v>
      </c>
      <c r="G1470" s="3">
        <v>515.17999999999995</v>
      </c>
    </row>
    <row r="1471" spans="1:7" x14ac:dyDescent="0.25">
      <c r="A1471" s="1" t="s">
        <v>3169</v>
      </c>
      <c r="B1471" s="2">
        <v>77</v>
      </c>
      <c r="C1471" s="3" t="str">
        <f>"011615341"</f>
        <v>011615341</v>
      </c>
      <c r="D1471" s="3" t="s">
        <v>2604</v>
      </c>
      <c r="E1471" s="3" t="s">
        <v>3015</v>
      </c>
      <c r="F1471" s="3" t="s">
        <v>3016</v>
      </c>
      <c r="G1471" s="3">
        <v>515.17999999999995</v>
      </c>
    </row>
    <row r="1472" spans="1:7" x14ac:dyDescent="0.25">
      <c r="A1472" s="1" t="s">
        <v>3169</v>
      </c>
      <c r="B1472" s="2">
        <v>77</v>
      </c>
      <c r="C1472" s="3" t="str">
        <f>"011615342"</f>
        <v>011615342</v>
      </c>
      <c r="D1472" s="3" t="s">
        <v>2604</v>
      </c>
      <c r="E1472" s="3" t="s">
        <v>3017</v>
      </c>
      <c r="F1472" s="3" t="s">
        <v>3018</v>
      </c>
      <c r="G1472" s="3">
        <v>515.17999999999995</v>
      </c>
    </row>
    <row r="1473" spans="1:7" x14ac:dyDescent="0.25">
      <c r="A1473" s="1" t="s">
        <v>3169</v>
      </c>
      <c r="B1473" s="2">
        <v>77</v>
      </c>
      <c r="C1473" s="3" t="str">
        <f>"011615343"</f>
        <v>011615343</v>
      </c>
      <c r="D1473" s="3" t="s">
        <v>2604</v>
      </c>
      <c r="E1473" s="3" t="s">
        <v>3019</v>
      </c>
      <c r="F1473" s="3" t="s">
        <v>3020</v>
      </c>
      <c r="G1473" s="3">
        <v>515.17999999999995</v>
      </c>
    </row>
    <row r="1474" spans="1:7" x14ac:dyDescent="0.25">
      <c r="A1474" s="1" t="s">
        <v>3169</v>
      </c>
      <c r="B1474" s="2">
        <v>77</v>
      </c>
      <c r="C1474" s="3" t="str">
        <f>"011615344"</f>
        <v>011615344</v>
      </c>
      <c r="D1474" s="3" t="s">
        <v>2604</v>
      </c>
      <c r="E1474" s="3"/>
      <c r="F1474" s="3" t="s">
        <v>3021</v>
      </c>
      <c r="G1474" s="3">
        <v>515.17999999999995</v>
      </c>
    </row>
    <row r="1475" spans="1:7" x14ac:dyDescent="0.25">
      <c r="A1475" s="1" t="s">
        <v>3169</v>
      </c>
      <c r="B1475" s="2">
        <v>77</v>
      </c>
      <c r="C1475" s="3" t="str">
        <f>"011615345"</f>
        <v>011615345</v>
      </c>
      <c r="D1475" s="3" t="s">
        <v>2604</v>
      </c>
      <c r="E1475" s="3"/>
      <c r="F1475" s="3" t="s">
        <v>3022</v>
      </c>
      <c r="G1475" s="3">
        <v>515.17999999999995</v>
      </c>
    </row>
    <row r="1476" spans="1:7" x14ac:dyDescent="0.25">
      <c r="A1476" s="1" t="s">
        <v>3169</v>
      </c>
      <c r="B1476" s="2">
        <v>77</v>
      </c>
      <c r="C1476" s="3" t="str">
        <f>"011615346"</f>
        <v>011615346</v>
      </c>
      <c r="D1476" s="3" t="s">
        <v>2604</v>
      </c>
      <c r="E1476" s="3" t="s">
        <v>3023</v>
      </c>
      <c r="F1476" s="3" t="s">
        <v>3024</v>
      </c>
      <c r="G1476" s="3">
        <v>515.17999999999995</v>
      </c>
    </row>
    <row r="1477" spans="1:7" x14ac:dyDescent="0.25">
      <c r="A1477" s="1" t="s">
        <v>3169</v>
      </c>
      <c r="B1477" s="2">
        <v>77</v>
      </c>
      <c r="C1477" s="3" t="str">
        <f>"011615347"</f>
        <v>011615347</v>
      </c>
      <c r="D1477" s="3" t="s">
        <v>2604</v>
      </c>
      <c r="E1477" s="3" t="s">
        <v>3025</v>
      </c>
      <c r="F1477" s="3" t="s">
        <v>3026</v>
      </c>
      <c r="G1477" s="3">
        <v>515.17999999999995</v>
      </c>
    </row>
    <row r="1478" spans="1:7" x14ac:dyDescent="0.25">
      <c r="A1478" s="1" t="s">
        <v>3169</v>
      </c>
      <c r="B1478" s="2">
        <v>77</v>
      </c>
      <c r="C1478" s="3" t="str">
        <f>"011615348"</f>
        <v>011615348</v>
      </c>
      <c r="D1478" s="3" t="s">
        <v>2604</v>
      </c>
      <c r="E1478" s="3" t="s">
        <v>3027</v>
      </c>
      <c r="F1478" s="3" t="s">
        <v>3028</v>
      </c>
      <c r="G1478" s="3">
        <v>515.17999999999995</v>
      </c>
    </row>
    <row r="1479" spans="1:7" x14ac:dyDescent="0.25">
      <c r="A1479" s="1" t="s">
        <v>3169</v>
      </c>
      <c r="B1479" s="2">
        <v>77</v>
      </c>
      <c r="C1479" s="3" t="str">
        <f>"011615349"</f>
        <v>011615349</v>
      </c>
      <c r="D1479" s="3" t="s">
        <v>2604</v>
      </c>
      <c r="E1479" s="3" t="s">
        <v>3029</v>
      </c>
      <c r="F1479" s="3" t="s">
        <v>3030</v>
      </c>
      <c r="G1479" s="3">
        <v>515.17999999999995</v>
      </c>
    </row>
    <row r="1480" spans="1:7" x14ac:dyDescent="0.25">
      <c r="A1480" s="1" t="s">
        <v>3169</v>
      </c>
      <c r="B1480" s="2">
        <v>77</v>
      </c>
      <c r="C1480" s="3" t="str">
        <f>"011615350"</f>
        <v>011615350</v>
      </c>
      <c r="D1480" s="3" t="s">
        <v>2604</v>
      </c>
      <c r="E1480" s="3"/>
      <c r="F1480" s="3" t="s">
        <v>3031</v>
      </c>
      <c r="G1480" s="3">
        <v>515.17999999999995</v>
      </c>
    </row>
    <row r="1481" spans="1:7" x14ac:dyDescent="0.25">
      <c r="A1481" s="1" t="s">
        <v>3169</v>
      </c>
      <c r="B1481" s="2">
        <v>77</v>
      </c>
      <c r="C1481" s="3" t="str">
        <f>"011615351"</f>
        <v>011615351</v>
      </c>
      <c r="D1481" s="3" t="s">
        <v>2604</v>
      </c>
      <c r="E1481" s="3"/>
      <c r="F1481" s="3" t="s">
        <v>3032</v>
      </c>
      <c r="G1481" s="3">
        <v>515.17999999999995</v>
      </c>
    </row>
    <row r="1482" spans="1:7" x14ac:dyDescent="0.25">
      <c r="A1482" s="1" t="s">
        <v>3169</v>
      </c>
      <c r="B1482" s="2">
        <v>77</v>
      </c>
      <c r="C1482" s="3" t="str">
        <f>"011615352"</f>
        <v>011615352</v>
      </c>
      <c r="D1482" s="3" t="s">
        <v>2604</v>
      </c>
      <c r="E1482" s="3" t="s">
        <v>3033</v>
      </c>
      <c r="F1482" s="3" t="s">
        <v>3034</v>
      </c>
      <c r="G1482" s="3">
        <v>515.17999999999995</v>
      </c>
    </row>
    <row r="1483" spans="1:7" x14ac:dyDescent="0.25">
      <c r="A1483" s="1" t="s">
        <v>3169</v>
      </c>
      <c r="B1483" s="2">
        <v>77</v>
      </c>
      <c r="C1483" s="3" t="str">
        <f>"011615353"</f>
        <v>011615353</v>
      </c>
      <c r="D1483" s="3" t="s">
        <v>2604</v>
      </c>
      <c r="E1483" s="3" t="s">
        <v>3035</v>
      </c>
      <c r="F1483" s="3" t="s">
        <v>3036</v>
      </c>
      <c r="G1483" s="3">
        <v>515.17999999999995</v>
      </c>
    </row>
    <row r="1484" spans="1:7" x14ac:dyDescent="0.25">
      <c r="A1484" s="1" t="s">
        <v>3169</v>
      </c>
      <c r="B1484" s="2">
        <v>77</v>
      </c>
      <c r="C1484" s="3" t="str">
        <f>"011615354"</f>
        <v>011615354</v>
      </c>
      <c r="D1484" s="3" t="s">
        <v>2604</v>
      </c>
      <c r="E1484" s="3" t="s">
        <v>3037</v>
      </c>
      <c r="F1484" s="3" t="s">
        <v>3038</v>
      </c>
      <c r="G1484" s="3">
        <v>515.17999999999995</v>
      </c>
    </row>
    <row r="1485" spans="1:7" x14ac:dyDescent="0.25">
      <c r="A1485" s="1" t="s">
        <v>3169</v>
      </c>
      <c r="B1485" s="2">
        <v>77</v>
      </c>
      <c r="C1485" s="3" t="str">
        <f>"011615355"</f>
        <v>011615355</v>
      </c>
      <c r="D1485" s="3" t="s">
        <v>2604</v>
      </c>
      <c r="E1485" s="3" t="s">
        <v>3039</v>
      </c>
      <c r="F1485" s="3" t="s">
        <v>3040</v>
      </c>
      <c r="G1485" s="3">
        <v>515.17999999999995</v>
      </c>
    </row>
    <row r="1486" spans="1:7" x14ac:dyDescent="0.25">
      <c r="A1486" s="1" t="s">
        <v>3169</v>
      </c>
      <c r="B1486" s="2">
        <v>77</v>
      </c>
      <c r="C1486" s="3" t="str">
        <f>"011615356"</f>
        <v>011615356</v>
      </c>
      <c r="D1486" s="3" t="s">
        <v>2604</v>
      </c>
      <c r="E1486" s="3" t="s">
        <v>3041</v>
      </c>
      <c r="F1486" s="3" t="s">
        <v>3042</v>
      </c>
      <c r="G1486" s="3">
        <v>515.17999999999995</v>
      </c>
    </row>
    <row r="1487" spans="1:7" x14ac:dyDescent="0.25">
      <c r="A1487" s="1" t="s">
        <v>3169</v>
      </c>
      <c r="B1487" s="2">
        <v>77</v>
      </c>
      <c r="C1487" s="3" t="str">
        <f>"011615357"</f>
        <v>011615357</v>
      </c>
      <c r="D1487" s="3" t="s">
        <v>2604</v>
      </c>
      <c r="E1487" s="3"/>
      <c r="F1487" s="3" t="s">
        <v>3043</v>
      </c>
      <c r="G1487" s="3">
        <v>515.17999999999995</v>
      </c>
    </row>
    <row r="1488" spans="1:7" x14ac:dyDescent="0.25">
      <c r="A1488" s="1" t="s">
        <v>3169</v>
      </c>
      <c r="B1488" s="2">
        <v>77</v>
      </c>
      <c r="C1488" s="3" t="str">
        <f>"011615358"</f>
        <v>011615358</v>
      </c>
      <c r="D1488" s="3" t="s">
        <v>2604</v>
      </c>
      <c r="E1488" s="3"/>
      <c r="F1488" s="3" t="s">
        <v>3044</v>
      </c>
      <c r="G1488" s="3">
        <v>515.17999999999995</v>
      </c>
    </row>
    <row r="1489" spans="1:7" x14ac:dyDescent="0.25">
      <c r="A1489" s="1" t="s">
        <v>3169</v>
      </c>
      <c r="B1489" s="2">
        <v>77</v>
      </c>
      <c r="C1489" s="3" t="str">
        <f>"011615359"</f>
        <v>011615359</v>
      </c>
      <c r="D1489" s="3" t="s">
        <v>2604</v>
      </c>
      <c r="E1489" s="3" t="s">
        <v>3045</v>
      </c>
      <c r="F1489" s="3" t="s">
        <v>3046</v>
      </c>
      <c r="G1489" s="3">
        <v>515.17999999999995</v>
      </c>
    </row>
    <row r="1490" spans="1:7" x14ac:dyDescent="0.25">
      <c r="A1490" s="1" t="s">
        <v>3169</v>
      </c>
      <c r="B1490" s="2">
        <v>77</v>
      </c>
      <c r="C1490" s="3" t="str">
        <f>"011615360"</f>
        <v>011615360</v>
      </c>
      <c r="D1490" s="3" t="s">
        <v>2604</v>
      </c>
      <c r="E1490" s="3" t="s">
        <v>3047</v>
      </c>
      <c r="F1490" s="3" t="s">
        <v>3048</v>
      </c>
      <c r="G1490" s="3">
        <v>515.17999999999995</v>
      </c>
    </row>
    <row r="1491" spans="1:7" x14ac:dyDescent="0.25">
      <c r="A1491" s="1" t="s">
        <v>3169</v>
      </c>
      <c r="B1491" s="2">
        <v>77</v>
      </c>
      <c r="C1491" s="3" t="str">
        <f>"011615361"</f>
        <v>011615361</v>
      </c>
      <c r="D1491" s="3" t="s">
        <v>2604</v>
      </c>
      <c r="E1491" s="3" t="s">
        <v>3049</v>
      </c>
      <c r="F1491" s="3" t="s">
        <v>3050</v>
      </c>
      <c r="G1491" s="3">
        <v>515.17999999999995</v>
      </c>
    </row>
    <row r="1492" spans="1:7" x14ac:dyDescent="0.25">
      <c r="A1492" s="1" t="s">
        <v>3169</v>
      </c>
      <c r="B1492" s="2">
        <v>77</v>
      </c>
      <c r="C1492" s="3" t="str">
        <f>"011615362"</f>
        <v>011615362</v>
      </c>
      <c r="D1492" s="3" t="s">
        <v>2604</v>
      </c>
      <c r="E1492" s="3" t="s">
        <v>3051</v>
      </c>
      <c r="F1492" s="3" t="s">
        <v>3052</v>
      </c>
      <c r="G1492" s="3">
        <v>515.17999999999995</v>
      </c>
    </row>
    <row r="1493" spans="1:7" x14ac:dyDescent="0.25">
      <c r="A1493" s="1" t="s">
        <v>3169</v>
      </c>
      <c r="B1493" s="2">
        <v>77</v>
      </c>
      <c r="C1493" s="3" t="str">
        <f>"011615363"</f>
        <v>011615363</v>
      </c>
      <c r="D1493" s="3" t="s">
        <v>2604</v>
      </c>
      <c r="E1493" s="3" t="s">
        <v>3053</v>
      </c>
      <c r="F1493" s="3" t="s">
        <v>3054</v>
      </c>
      <c r="G1493" s="3">
        <v>515.17999999999995</v>
      </c>
    </row>
    <row r="1494" spans="1:7" x14ac:dyDescent="0.25">
      <c r="A1494" s="1" t="s">
        <v>3169</v>
      </c>
      <c r="B1494" s="2">
        <v>77</v>
      </c>
      <c r="C1494" s="3" t="str">
        <f>"011615364"</f>
        <v>011615364</v>
      </c>
      <c r="D1494" s="3" t="s">
        <v>2604</v>
      </c>
      <c r="E1494" s="3"/>
      <c r="F1494" s="3" t="s">
        <v>3055</v>
      </c>
      <c r="G1494" s="3">
        <v>515.17999999999995</v>
      </c>
    </row>
    <row r="1495" spans="1:7" x14ac:dyDescent="0.25">
      <c r="A1495" s="1" t="s">
        <v>3169</v>
      </c>
      <c r="B1495" s="2">
        <v>77</v>
      </c>
      <c r="C1495" s="3" t="str">
        <f>"011615365"</f>
        <v>011615365</v>
      </c>
      <c r="D1495" s="3" t="s">
        <v>2604</v>
      </c>
      <c r="E1495" s="3"/>
      <c r="F1495" s="3" t="s">
        <v>3056</v>
      </c>
      <c r="G1495" s="3">
        <v>515.17999999999995</v>
      </c>
    </row>
    <row r="1496" spans="1:7" x14ac:dyDescent="0.25">
      <c r="A1496" s="1" t="s">
        <v>3169</v>
      </c>
      <c r="B1496" s="2">
        <v>77</v>
      </c>
      <c r="C1496" s="3" t="str">
        <f>"011615366"</f>
        <v>011615366</v>
      </c>
      <c r="D1496" s="3" t="s">
        <v>2604</v>
      </c>
      <c r="E1496" s="3" t="s">
        <v>3057</v>
      </c>
      <c r="F1496" s="3" t="s">
        <v>3058</v>
      </c>
      <c r="G1496" s="3">
        <v>515.17999999999995</v>
      </c>
    </row>
    <row r="1497" spans="1:7" x14ac:dyDescent="0.25">
      <c r="A1497" s="1" t="s">
        <v>3169</v>
      </c>
      <c r="B1497" s="2">
        <v>77</v>
      </c>
      <c r="C1497" s="3" t="str">
        <f>"011615367"</f>
        <v>011615367</v>
      </c>
      <c r="D1497" s="3" t="s">
        <v>2604</v>
      </c>
      <c r="E1497" s="3" t="s">
        <v>3059</v>
      </c>
      <c r="F1497" s="3" t="s">
        <v>3060</v>
      </c>
      <c r="G1497" s="3">
        <v>515.17999999999995</v>
      </c>
    </row>
    <row r="1498" spans="1:7" x14ac:dyDescent="0.25">
      <c r="A1498" s="1" t="s">
        <v>3169</v>
      </c>
      <c r="B1498" s="2">
        <v>77</v>
      </c>
      <c r="C1498" s="3" t="str">
        <f>"011615368"</f>
        <v>011615368</v>
      </c>
      <c r="D1498" s="3" t="s">
        <v>2604</v>
      </c>
      <c r="E1498" s="3" t="s">
        <v>3061</v>
      </c>
      <c r="F1498" s="3" t="s">
        <v>3062</v>
      </c>
      <c r="G1498" s="3">
        <v>515.17999999999995</v>
      </c>
    </row>
    <row r="1499" spans="1:7" x14ac:dyDescent="0.25">
      <c r="A1499" s="1" t="s">
        <v>3169</v>
      </c>
      <c r="B1499" s="2">
        <v>77</v>
      </c>
      <c r="C1499" s="3" t="str">
        <f>"011615369"</f>
        <v>011615369</v>
      </c>
      <c r="D1499" s="3" t="s">
        <v>2604</v>
      </c>
      <c r="E1499" s="3" t="s">
        <v>3063</v>
      </c>
      <c r="F1499" s="3" t="s">
        <v>3064</v>
      </c>
      <c r="G1499" s="3">
        <v>515.17999999999995</v>
      </c>
    </row>
    <row r="1500" spans="1:7" x14ac:dyDescent="0.25">
      <c r="A1500" s="1" t="s">
        <v>3169</v>
      </c>
      <c r="B1500" s="2">
        <v>77</v>
      </c>
      <c r="C1500" s="3" t="str">
        <f>"011615370"</f>
        <v>011615370</v>
      </c>
      <c r="D1500" s="3" t="s">
        <v>2604</v>
      </c>
      <c r="E1500" s="3"/>
      <c r="F1500" s="3" t="s">
        <v>3065</v>
      </c>
      <c r="G1500" s="3">
        <v>515.17999999999995</v>
      </c>
    </row>
    <row r="1501" spans="1:7" x14ac:dyDescent="0.25">
      <c r="A1501" s="1" t="s">
        <v>3169</v>
      </c>
      <c r="B1501" s="2">
        <v>77</v>
      </c>
      <c r="C1501" s="3" t="str">
        <f>"011615371"</f>
        <v>011615371</v>
      </c>
      <c r="D1501" s="3" t="s">
        <v>2604</v>
      </c>
      <c r="E1501" s="3"/>
      <c r="F1501" s="3" t="s">
        <v>3066</v>
      </c>
      <c r="G1501" s="3">
        <v>515.17999999999995</v>
      </c>
    </row>
    <row r="1502" spans="1:7" x14ac:dyDescent="0.25">
      <c r="A1502" s="1" t="s">
        <v>3169</v>
      </c>
      <c r="B1502" s="2">
        <v>77</v>
      </c>
      <c r="C1502" s="3" t="str">
        <f>"011615372"</f>
        <v>011615372</v>
      </c>
      <c r="D1502" s="3" t="s">
        <v>2604</v>
      </c>
      <c r="E1502" s="3" t="s">
        <v>3067</v>
      </c>
      <c r="F1502" s="3" t="s">
        <v>3068</v>
      </c>
      <c r="G1502" s="3">
        <v>515.17999999999995</v>
      </c>
    </row>
    <row r="1503" spans="1:7" x14ac:dyDescent="0.25">
      <c r="A1503" s="1" t="s">
        <v>3169</v>
      </c>
      <c r="B1503" s="2">
        <v>77</v>
      </c>
      <c r="C1503" s="3" t="str">
        <f>"011615373"</f>
        <v>011615373</v>
      </c>
      <c r="D1503" s="3" t="s">
        <v>2604</v>
      </c>
      <c r="E1503" s="3" t="s">
        <v>3069</v>
      </c>
      <c r="F1503" s="3" t="s">
        <v>3070</v>
      </c>
      <c r="G1503" s="3">
        <v>515.17999999999995</v>
      </c>
    </row>
    <row r="1504" spans="1:7" x14ac:dyDescent="0.25">
      <c r="A1504" s="1" t="s">
        <v>3169</v>
      </c>
      <c r="B1504" s="2">
        <v>77</v>
      </c>
      <c r="C1504" s="3" t="str">
        <f>"011615374"</f>
        <v>011615374</v>
      </c>
      <c r="D1504" s="3" t="s">
        <v>2604</v>
      </c>
      <c r="E1504" s="3" t="s">
        <v>3071</v>
      </c>
      <c r="F1504" s="3" t="s">
        <v>3072</v>
      </c>
      <c r="G1504" s="3">
        <v>515.17999999999995</v>
      </c>
    </row>
    <row r="1505" spans="1:7" x14ac:dyDescent="0.25">
      <c r="A1505" s="1" t="s">
        <v>3169</v>
      </c>
      <c r="B1505" s="2">
        <v>77</v>
      </c>
      <c r="C1505" s="3" t="str">
        <f>"011615375"</f>
        <v>011615375</v>
      </c>
      <c r="D1505" s="3" t="s">
        <v>2604</v>
      </c>
      <c r="E1505" s="3" t="s">
        <v>3073</v>
      </c>
      <c r="F1505" s="3" t="s">
        <v>3074</v>
      </c>
      <c r="G1505" s="3">
        <v>515.17999999999995</v>
      </c>
    </row>
    <row r="1506" spans="1:7" x14ac:dyDescent="0.25">
      <c r="A1506" s="1" t="s">
        <v>3169</v>
      </c>
      <c r="B1506" s="2">
        <v>77</v>
      </c>
      <c r="C1506" s="3" t="str">
        <f>"011615376"</f>
        <v>011615376</v>
      </c>
      <c r="D1506" s="3" t="s">
        <v>2604</v>
      </c>
      <c r="E1506" s="3" t="s">
        <v>3075</v>
      </c>
      <c r="F1506" s="3" t="s">
        <v>3076</v>
      </c>
      <c r="G1506" s="3">
        <v>515.17999999999995</v>
      </c>
    </row>
    <row r="1507" spans="1:7" x14ac:dyDescent="0.25">
      <c r="A1507" s="1" t="s">
        <v>3169</v>
      </c>
      <c r="B1507" s="2">
        <v>77</v>
      </c>
      <c r="C1507" s="3" t="str">
        <f>"011615377"</f>
        <v>011615377</v>
      </c>
      <c r="D1507" s="3" t="s">
        <v>2604</v>
      </c>
      <c r="E1507" s="3"/>
      <c r="F1507" s="3" t="s">
        <v>3077</v>
      </c>
      <c r="G1507" s="3">
        <v>515.17999999999995</v>
      </c>
    </row>
    <row r="1508" spans="1:7" x14ac:dyDescent="0.25">
      <c r="A1508" s="1" t="s">
        <v>3169</v>
      </c>
      <c r="B1508" s="2">
        <v>77</v>
      </c>
      <c r="C1508" s="3" t="str">
        <f>"011615378"</f>
        <v>011615378</v>
      </c>
      <c r="D1508" s="3" t="s">
        <v>2604</v>
      </c>
      <c r="E1508" s="3"/>
      <c r="F1508" s="3" t="s">
        <v>3078</v>
      </c>
      <c r="G1508" s="3">
        <v>515.17999999999995</v>
      </c>
    </row>
    <row r="1509" spans="1:7" x14ac:dyDescent="0.25">
      <c r="A1509" s="1" t="s">
        <v>3169</v>
      </c>
      <c r="B1509" s="2">
        <v>77</v>
      </c>
      <c r="C1509" s="3" t="str">
        <f>"011615379"</f>
        <v>011615379</v>
      </c>
      <c r="D1509" s="3" t="s">
        <v>2604</v>
      </c>
      <c r="E1509" s="3" t="s">
        <v>3079</v>
      </c>
      <c r="F1509" s="3" t="s">
        <v>3080</v>
      </c>
      <c r="G1509" s="3">
        <v>515.17999999999995</v>
      </c>
    </row>
    <row r="1510" spans="1:7" x14ac:dyDescent="0.25">
      <c r="A1510" s="1" t="s">
        <v>3169</v>
      </c>
      <c r="B1510" s="2">
        <v>77</v>
      </c>
      <c r="C1510" s="3" t="str">
        <f>"011615380"</f>
        <v>011615380</v>
      </c>
      <c r="D1510" s="3" t="s">
        <v>2604</v>
      </c>
      <c r="E1510" s="3" t="s">
        <v>3081</v>
      </c>
      <c r="F1510" s="3" t="s">
        <v>3082</v>
      </c>
      <c r="G1510" s="3">
        <v>515.17999999999995</v>
      </c>
    </row>
    <row r="1511" spans="1:7" x14ac:dyDescent="0.25">
      <c r="A1511" s="1" t="s">
        <v>3169</v>
      </c>
      <c r="B1511" s="2">
        <v>77</v>
      </c>
      <c r="C1511" s="3" t="str">
        <f>"011615381"</f>
        <v>011615381</v>
      </c>
      <c r="D1511" s="3" t="s">
        <v>2604</v>
      </c>
      <c r="E1511" s="3" t="s">
        <v>3083</v>
      </c>
      <c r="F1511" s="3" t="s">
        <v>3084</v>
      </c>
      <c r="G1511" s="3">
        <v>515.17999999999995</v>
      </c>
    </row>
    <row r="1512" spans="1:7" x14ac:dyDescent="0.25">
      <c r="A1512" s="1" t="s">
        <v>3169</v>
      </c>
      <c r="B1512" s="2">
        <v>77</v>
      </c>
      <c r="C1512" s="3" t="str">
        <f>"011615382"</f>
        <v>011615382</v>
      </c>
      <c r="D1512" s="3" t="s">
        <v>2604</v>
      </c>
      <c r="E1512" s="3" t="s">
        <v>3085</v>
      </c>
      <c r="F1512" s="3" t="s">
        <v>3086</v>
      </c>
      <c r="G1512" s="3">
        <v>515.17999999999995</v>
      </c>
    </row>
    <row r="1513" spans="1:7" x14ac:dyDescent="0.25">
      <c r="A1513" s="1" t="s">
        <v>3169</v>
      </c>
      <c r="B1513" s="2">
        <v>77</v>
      </c>
      <c r="C1513" s="3" t="str">
        <f>"011615383"</f>
        <v>011615383</v>
      </c>
      <c r="D1513" s="3" t="s">
        <v>2604</v>
      </c>
      <c r="E1513" s="3" t="s">
        <v>3087</v>
      </c>
      <c r="F1513" s="3" t="s">
        <v>3088</v>
      </c>
      <c r="G1513" s="3">
        <v>515.17999999999995</v>
      </c>
    </row>
    <row r="1514" spans="1:7" x14ac:dyDescent="0.25">
      <c r="A1514" s="1" t="s">
        <v>3169</v>
      </c>
      <c r="B1514" s="2">
        <v>77</v>
      </c>
      <c r="C1514" s="3" t="str">
        <f>"011615384"</f>
        <v>011615384</v>
      </c>
      <c r="D1514" s="3" t="s">
        <v>2604</v>
      </c>
      <c r="E1514" s="3"/>
      <c r="F1514" s="3" t="s">
        <v>3089</v>
      </c>
      <c r="G1514" s="3">
        <v>515.17999999999995</v>
      </c>
    </row>
    <row r="1515" spans="1:7" x14ac:dyDescent="0.25">
      <c r="A1515" s="1" t="s">
        <v>3169</v>
      </c>
      <c r="B1515" s="2">
        <v>77</v>
      </c>
      <c r="C1515" s="3" t="str">
        <f>"011615385"</f>
        <v>011615385</v>
      </c>
      <c r="D1515" s="3" t="s">
        <v>2604</v>
      </c>
      <c r="E1515" s="3"/>
      <c r="F1515" s="3" t="s">
        <v>3090</v>
      </c>
      <c r="G1515" s="3">
        <v>515.17999999999995</v>
      </c>
    </row>
    <row r="1516" spans="1:7" x14ac:dyDescent="0.25">
      <c r="A1516" s="1" t="s">
        <v>3169</v>
      </c>
      <c r="B1516" s="2">
        <v>77</v>
      </c>
      <c r="C1516" s="3" t="str">
        <f>"011615386"</f>
        <v>011615386</v>
      </c>
      <c r="D1516" s="3" t="s">
        <v>2604</v>
      </c>
      <c r="E1516" s="3" t="s">
        <v>3091</v>
      </c>
      <c r="F1516" s="3" t="s">
        <v>3092</v>
      </c>
      <c r="G1516" s="3">
        <v>515.17999999999995</v>
      </c>
    </row>
    <row r="1517" spans="1:7" x14ac:dyDescent="0.25">
      <c r="A1517" s="1" t="s">
        <v>3169</v>
      </c>
      <c r="B1517" s="2">
        <v>77</v>
      </c>
      <c r="C1517" s="3" t="str">
        <f>"011615387"</f>
        <v>011615387</v>
      </c>
      <c r="D1517" s="3" t="s">
        <v>2604</v>
      </c>
      <c r="E1517" s="3" t="s">
        <v>3093</v>
      </c>
      <c r="F1517" s="3" t="s">
        <v>3094</v>
      </c>
      <c r="G1517" s="3">
        <v>515.17999999999995</v>
      </c>
    </row>
    <row r="1518" spans="1:7" x14ac:dyDescent="0.25">
      <c r="A1518" s="1" t="s">
        <v>3169</v>
      </c>
      <c r="B1518" s="2">
        <v>77</v>
      </c>
      <c r="C1518" s="3" t="str">
        <f>"011615388"</f>
        <v>011615388</v>
      </c>
      <c r="D1518" s="3" t="s">
        <v>2604</v>
      </c>
      <c r="E1518" s="3" t="s">
        <v>3095</v>
      </c>
      <c r="F1518" s="3" t="s">
        <v>3096</v>
      </c>
      <c r="G1518" s="3">
        <v>515.17999999999995</v>
      </c>
    </row>
    <row r="1519" spans="1:7" x14ac:dyDescent="0.25">
      <c r="A1519" s="1" t="s">
        <v>3169</v>
      </c>
      <c r="B1519" s="2">
        <v>77</v>
      </c>
      <c r="C1519" s="3" t="str">
        <f>"011615389"</f>
        <v>011615389</v>
      </c>
      <c r="D1519" s="3" t="s">
        <v>2604</v>
      </c>
      <c r="E1519" s="3" t="s">
        <v>3097</v>
      </c>
      <c r="F1519" s="3" t="s">
        <v>3098</v>
      </c>
      <c r="G1519" s="3">
        <v>515.17999999999995</v>
      </c>
    </row>
    <row r="1520" spans="1:7" x14ac:dyDescent="0.25">
      <c r="A1520" s="1" t="s">
        <v>3169</v>
      </c>
      <c r="B1520" s="2">
        <v>77</v>
      </c>
      <c r="C1520" s="3" t="str">
        <f>"011615390"</f>
        <v>011615390</v>
      </c>
      <c r="D1520" s="3" t="s">
        <v>2604</v>
      </c>
      <c r="E1520" s="3" t="s">
        <v>3099</v>
      </c>
      <c r="F1520" s="3" t="s">
        <v>3100</v>
      </c>
      <c r="G1520" s="3">
        <v>515.17999999999995</v>
      </c>
    </row>
    <row r="1521" spans="1:7" x14ac:dyDescent="0.25">
      <c r="A1521" s="1" t="s">
        <v>3169</v>
      </c>
      <c r="B1521" s="2">
        <v>77</v>
      </c>
      <c r="C1521" s="3" t="str">
        <f>"011615391"</f>
        <v>011615391</v>
      </c>
      <c r="D1521" s="3" t="s">
        <v>2604</v>
      </c>
      <c r="E1521" s="3"/>
      <c r="F1521" s="3" t="s">
        <v>3101</v>
      </c>
      <c r="G1521" s="3">
        <v>515.17999999999995</v>
      </c>
    </row>
    <row r="1522" spans="1:7" x14ac:dyDescent="0.25">
      <c r="A1522" s="1" t="s">
        <v>3169</v>
      </c>
      <c r="B1522" s="2">
        <v>77</v>
      </c>
      <c r="C1522" s="3" t="str">
        <f>"011615392"</f>
        <v>011615392</v>
      </c>
      <c r="D1522" s="3" t="s">
        <v>2604</v>
      </c>
      <c r="E1522" s="3"/>
      <c r="F1522" s="3" t="s">
        <v>3102</v>
      </c>
      <c r="G1522" s="3">
        <v>515.17999999999995</v>
      </c>
    </row>
    <row r="1523" spans="1:7" x14ac:dyDescent="0.25">
      <c r="A1523" s="1" t="s">
        <v>3169</v>
      </c>
      <c r="B1523" s="2">
        <v>77</v>
      </c>
      <c r="C1523" s="3" t="str">
        <f>"011615393"</f>
        <v>011615393</v>
      </c>
      <c r="D1523" s="3" t="s">
        <v>2604</v>
      </c>
      <c r="E1523" s="3" t="s">
        <v>3103</v>
      </c>
      <c r="F1523" s="3" t="s">
        <v>3104</v>
      </c>
      <c r="G1523" s="3">
        <v>515.17999999999995</v>
      </c>
    </row>
    <row r="1524" spans="1:7" x14ac:dyDescent="0.25">
      <c r="A1524" s="1" t="s">
        <v>3169</v>
      </c>
      <c r="B1524" s="2">
        <v>77</v>
      </c>
      <c r="C1524" s="3" t="str">
        <f>"011615394"</f>
        <v>011615394</v>
      </c>
      <c r="D1524" s="3" t="s">
        <v>2604</v>
      </c>
      <c r="E1524" s="3" t="s">
        <v>3105</v>
      </c>
      <c r="F1524" s="3" t="s">
        <v>3106</v>
      </c>
      <c r="G1524" s="3">
        <v>515.17999999999995</v>
      </c>
    </row>
    <row r="1525" spans="1:7" x14ac:dyDescent="0.25">
      <c r="A1525" s="1" t="s">
        <v>3169</v>
      </c>
      <c r="B1525" s="2">
        <v>77</v>
      </c>
      <c r="C1525" s="3" t="str">
        <f>"011615395"</f>
        <v>011615395</v>
      </c>
      <c r="D1525" s="3" t="s">
        <v>2604</v>
      </c>
      <c r="E1525" s="3" t="s">
        <v>3107</v>
      </c>
      <c r="F1525" s="3" t="s">
        <v>3108</v>
      </c>
      <c r="G1525" s="3">
        <v>515.17999999999995</v>
      </c>
    </row>
    <row r="1526" spans="1:7" x14ac:dyDescent="0.25">
      <c r="A1526" s="1" t="s">
        <v>3169</v>
      </c>
      <c r="B1526" s="2">
        <v>77</v>
      </c>
      <c r="C1526" s="3" t="str">
        <f>"011615396"</f>
        <v>011615396</v>
      </c>
      <c r="D1526" s="3" t="s">
        <v>2604</v>
      </c>
      <c r="E1526" s="3" t="s">
        <v>3109</v>
      </c>
      <c r="F1526" s="3" t="s">
        <v>3110</v>
      </c>
      <c r="G1526" s="3">
        <v>515.17999999999995</v>
      </c>
    </row>
    <row r="1527" spans="1:7" x14ac:dyDescent="0.25">
      <c r="A1527" s="1" t="s">
        <v>3169</v>
      </c>
      <c r="B1527" s="2">
        <v>77</v>
      </c>
      <c r="C1527" s="3" t="str">
        <f>"011615398"</f>
        <v>011615398</v>
      </c>
      <c r="D1527" s="3" t="s">
        <v>2604</v>
      </c>
      <c r="E1527" s="3"/>
      <c r="F1527" s="3" t="s">
        <v>3111</v>
      </c>
      <c r="G1527" s="3">
        <v>13.7</v>
      </c>
    </row>
    <row r="1528" spans="1:7" x14ac:dyDescent="0.25">
      <c r="A1528" s="1" t="s">
        <v>3169</v>
      </c>
      <c r="B1528" s="2">
        <v>77</v>
      </c>
      <c r="C1528" s="3" t="str">
        <f>"011615399"</f>
        <v>011615399</v>
      </c>
      <c r="D1528" s="3" t="s">
        <v>2604</v>
      </c>
      <c r="E1528" s="3"/>
      <c r="F1528" s="3" t="s">
        <v>3112</v>
      </c>
      <c r="G1528" s="3">
        <v>24.44</v>
      </c>
    </row>
    <row r="1529" spans="1:7" x14ac:dyDescent="0.25">
      <c r="A1529" s="1" t="s">
        <v>3169</v>
      </c>
      <c r="B1529" s="2">
        <v>77</v>
      </c>
      <c r="C1529" s="3" t="str">
        <f>"011615400"</f>
        <v>011615400</v>
      </c>
      <c r="D1529" s="3" t="s">
        <v>2604</v>
      </c>
      <c r="E1529" s="3"/>
      <c r="F1529" s="3" t="s">
        <v>3113</v>
      </c>
      <c r="G1529" s="3">
        <v>18.84</v>
      </c>
    </row>
    <row r="1530" spans="1:7" x14ac:dyDescent="0.25">
      <c r="A1530" s="1" t="s">
        <v>3169</v>
      </c>
      <c r="B1530" s="2">
        <v>77</v>
      </c>
      <c r="C1530" s="3" t="str">
        <f>"011615401"</f>
        <v>011615401</v>
      </c>
      <c r="D1530" s="3" t="s">
        <v>2604</v>
      </c>
      <c r="E1530" s="3"/>
      <c r="F1530" s="3" t="s">
        <v>3114</v>
      </c>
      <c r="G1530" s="3">
        <v>70.56</v>
      </c>
    </row>
    <row r="1531" spans="1:7" x14ac:dyDescent="0.25">
      <c r="A1531" s="1" t="s">
        <v>3169</v>
      </c>
      <c r="B1531" s="2">
        <v>77</v>
      </c>
      <c r="C1531" s="3" t="str">
        <f>"011615402"</f>
        <v>011615402</v>
      </c>
      <c r="D1531" s="3" t="s">
        <v>2604</v>
      </c>
      <c r="E1531" s="3"/>
      <c r="F1531" s="3" t="s">
        <v>3115</v>
      </c>
      <c r="G1531" s="3">
        <v>128</v>
      </c>
    </row>
    <row r="1532" spans="1:7" x14ac:dyDescent="0.25">
      <c r="A1532" s="1" t="s">
        <v>3169</v>
      </c>
      <c r="B1532" s="2">
        <v>77</v>
      </c>
      <c r="C1532" s="3" t="str">
        <f>"011615403"</f>
        <v>011615403</v>
      </c>
      <c r="D1532" s="3" t="s">
        <v>2604</v>
      </c>
      <c r="E1532" s="3"/>
      <c r="F1532" s="3" t="s">
        <v>3116</v>
      </c>
      <c r="G1532" s="3">
        <v>42.54</v>
      </c>
    </row>
    <row r="1533" spans="1:7" x14ac:dyDescent="0.25">
      <c r="A1533" s="1" t="s">
        <v>3169</v>
      </c>
      <c r="B1533" s="2">
        <v>77</v>
      </c>
      <c r="C1533" s="3" t="str">
        <f>"011615404"</f>
        <v>011615404</v>
      </c>
      <c r="D1533" s="3" t="s">
        <v>2604</v>
      </c>
      <c r="E1533" s="3"/>
      <c r="F1533" s="3" t="s">
        <v>3117</v>
      </c>
      <c r="G1533" s="3">
        <v>75.8</v>
      </c>
    </row>
    <row r="1534" spans="1:7" x14ac:dyDescent="0.25">
      <c r="A1534" s="1" t="s">
        <v>3169</v>
      </c>
      <c r="B1534" s="2">
        <v>77</v>
      </c>
      <c r="C1534" s="3" t="str">
        <f>"011615405"</f>
        <v>011615405</v>
      </c>
      <c r="D1534" s="3" t="s">
        <v>2604</v>
      </c>
      <c r="E1534" s="3"/>
      <c r="F1534" s="3" t="s">
        <v>3118</v>
      </c>
      <c r="G1534" s="3">
        <v>60.16</v>
      </c>
    </row>
    <row r="1535" spans="1:7" x14ac:dyDescent="0.25">
      <c r="A1535" s="1" t="s">
        <v>3169</v>
      </c>
      <c r="B1535" s="2">
        <v>77</v>
      </c>
      <c r="C1535" s="3" t="str">
        <f>"011615406"</f>
        <v>011615406</v>
      </c>
      <c r="D1535" s="3" t="s">
        <v>2604</v>
      </c>
      <c r="E1535" s="3"/>
      <c r="F1535" s="3" t="s">
        <v>3119</v>
      </c>
      <c r="G1535" s="3">
        <v>42.38</v>
      </c>
    </row>
    <row r="1536" spans="1:7" x14ac:dyDescent="0.25">
      <c r="A1536" s="1" t="s">
        <v>3169</v>
      </c>
      <c r="B1536" s="2">
        <v>77</v>
      </c>
      <c r="C1536" s="3" t="str">
        <f>"011615407"</f>
        <v>011615407</v>
      </c>
      <c r="D1536" s="3" t="s">
        <v>2604</v>
      </c>
      <c r="E1536" s="3"/>
      <c r="F1536" s="3" t="s">
        <v>3120</v>
      </c>
      <c r="G1536" s="3">
        <v>3.28</v>
      </c>
    </row>
    <row r="1537" spans="1:7" x14ac:dyDescent="0.25">
      <c r="A1537" s="1" t="s">
        <v>3169</v>
      </c>
      <c r="B1537" s="2">
        <v>77</v>
      </c>
      <c r="C1537" s="3" t="str">
        <f>"011615449"</f>
        <v>011615449</v>
      </c>
      <c r="D1537" s="3" t="s">
        <v>3121</v>
      </c>
      <c r="E1537" s="3"/>
      <c r="F1537" s="3" t="s">
        <v>3122</v>
      </c>
      <c r="G1537" s="3">
        <v>43.06</v>
      </c>
    </row>
    <row r="1538" spans="1:7" x14ac:dyDescent="0.25">
      <c r="A1538" s="1" t="s">
        <v>3169</v>
      </c>
      <c r="B1538" s="2">
        <v>77</v>
      </c>
      <c r="C1538" s="3" t="str">
        <f>"011615457"</f>
        <v>011615457</v>
      </c>
      <c r="D1538" s="3" t="s">
        <v>3123</v>
      </c>
      <c r="E1538" s="3" t="s">
        <v>3124</v>
      </c>
      <c r="F1538" s="3" t="s">
        <v>3125</v>
      </c>
      <c r="G1538" s="3">
        <v>63.91</v>
      </c>
    </row>
    <row r="1539" spans="1:7" x14ac:dyDescent="0.25">
      <c r="A1539" s="1" t="s">
        <v>3169</v>
      </c>
      <c r="B1539" s="2">
        <v>77</v>
      </c>
      <c r="C1539" s="3" t="str">
        <f>"011615462"</f>
        <v>011615462</v>
      </c>
      <c r="D1539" s="3" t="s">
        <v>3123</v>
      </c>
      <c r="E1539" s="3" t="s">
        <v>3126</v>
      </c>
      <c r="F1539" s="3" t="s">
        <v>3127</v>
      </c>
      <c r="G1539" s="3">
        <v>89.29</v>
      </c>
    </row>
    <row r="1540" spans="1:7" x14ac:dyDescent="0.25">
      <c r="A1540" s="1" t="s">
        <v>3169</v>
      </c>
      <c r="B1540" s="2">
        <v>77</v>
      </c>
      <c r="C1540" s="3" t="str">
        <f>"011615503"</f>
        <v>011615503</v>
      </c>
      <c r="D1540" s="3" t="s">
        <v>3128</v>
      </c>
      <c r="E1540" s="3"/>
      <c r="F1540" s="3" t="s">
        <v>3129</v>
      </c>
      <c r="G1540" s="3">
        <v>266.64</v>
      </c>
    </row>
    <row r="1541" spans="1:7" x14ac:dyDescent="0.25">
      <c r="A1541" s="1" t="s">
        <v>3169</v>
      </c>
      <c r="B1541" s="2">
        <v>77</v>
      </c>
      <c r="C1541" s="3" t="str">
        <f>"011615506"</f>
        <v>011615506</v>
      </c>
      <c r="D1541" s="3" t="s">
        <v>3130</v>
      </c>
      <c r="E1541" s="3"/>
      <c r="F1541" s="3" t="s">
        <v>3131</v>
      </c>
      <c r="G1541" s="3">
        <v>84.42</v>
      </c>
    </row>
    <row r="1542" spans="1:7" x14ac:dyDescent="0.25">
      <c r="A1542" s="1" t="s">
        <v>3169</v>
      </c>
      <c r="B1542" s="2">
        <v>77</v>
      </c>
      <c r="C1542" s="3" t="str">
        <f>"011615614"</f>
        <v>011615614</v>
      </c>
      <c r="D1542" s="3" t="s">
        <v>3132</v>
      </c>
      <c r="E1542" s="3"/>
      <c r="F1542" s="3" t="s">
        <v>3133</v>
      </c>
      <c r="G1542" s="3">
        <v>6.36</v>
      </c>
    </row>
    <row r="1543" spans="1:7" x14ac:dyDescent="0.25">
      <c r="A1543" s="1" t="s">
        <v>3169</v>
      </c>
      <c r="B1543" s="2">
        <v>77</v>
      </c>
      <c r="C1543" s="3" t="str">
        <f>"011615699"</f>
        <v>011615699</v>
      </c>
      <c r="D1543" s="3" t="s">
        <v>3134</v>
      </c>
      <c r="E1543" s="3" t="s">
        <v>3135</v>
      </c>
      <c r="F1543" s="3" t="s">
        <v>3136</v>
      </c>
      <c r="G1543" s="3">
        <v>473.15</v>
      </c>
    </row>
    <row r="1544" spans="1:7" x14ac:dyDescent="0.25">
      <c r="A1544" s="1" t="s">
        <v>3169</v>
      </c>
      <c r="B1544" s="2">
        <v>77</v>
      </c>
      <c r="C1544" s="3" t="str">
        <f>"011615700"</f>
        <v>011615700</v>
      </c>
      <c r="D1544" s="3" t="s">
        <v>1445</v>
      </c>
      <c r="E1544" s="3" t="s">
        <v>3137</v>
      </c>
      <c r="F1544" s="3" t="s">
        <v>3138</v>
      </c>
      <c r="G1544" s="3">
        <v>473.15</v>
      </c>
    </row>
    <row r="1545" spans="1:7" x14ac:dyDescent="0.25">
      <c r="A1545" s="1" t="s">
        <v>3169</v>
      </c>
      <c r="B1545" s="2">
        <v>77</v>
      </c>
      <c r="C1545" s="3" t="str">
        <f>"011615701"</f>
        <v>011615701</v>
      </c>
      <c r="D1545" s="3" t="s">
        <v>1445</v>
      </c>
      <c r="E1545" s="3" t="s">
        <v>3139</v>
      </c>
      <c r="F1545" s="3" t="s">
        <v>3140</v>
      </c>
      <c r="G1545" s="3">
        <v>473.15</v>
      </c>
    </row>
    <row r="1546" spans="1:7" x14ac:dyDescent="0.25">
      <c r="A1546" s="1" t="s">
        <v>3169</v>
      </c>
      <c r="B1546" s="2">
        <v>77</v>
      </c>
      <c r="C1546" s="3" t="str">
        <f>"011615705"</f>
        <v>011615705</v>
      </c>
      <c r="D1546" s="3" t="s">
        <v>3141</v>
      </c>
      <c r="E1546" s="3" t="s">
        <v>3142</v>
      </c>
      <c r="F1546" s="3" t="s">
        <v>3143</v>
      </c>
      <c r="G1546" s="3">
        <v>473.15</v>
      </c>
    </row>
    <row r="1547" spans="1:7" x14ac:dyDescent="0.25">
      <c r="A1547" s="1" t="s">
        <v>3169</v>
      </c>
      <c r="B1547" s="2">
        <v>77</v>
      </c>
      <c r="C1547" s="3" t="str">
        <f>"011615760"</f>
        <v>011615760</v>
      </c>
      <c r="D1547" s="3" t="s">
        <v>1445</v>
      </c>
      <c r="E1547" s="3" t="s">
        <v>3144</v>
      </c>
      <c r="F1547" s="3" t="s">
        <v>3145</v>
      </c>
      <c r="G1547" s="3">
        <v>473.15</v>
      </c>
    </row>
    <row r="1548" spans="1:7" x14ac:dyDescent="0.25">
      <c r="A1548" s="1" t="s">
        <v>3169</v>
      </c>
      <c r="B1548" s="2">
        <v>77</v>
      </c>
      <c r="C1548" s="3" t="str">
        <f>"011615772"</f>
        <v>011615772</v>
      </c>
      <c r="D1548" s="3" t="s">
        <v>3146</v>
      </c>
      <c r="E1548" s="3" t="s">
        <v>3147</v>
      </c>
      <c r="F1548" s="3" t="s">
        <v>3148</v>
      </c>
      <c r="G1548" s="3">
        <v>473.15</v>
      </c>
    </row>
    <row r="1549" spans="1:7" x14ac:dyDescent="0.25">
      <c r="A1549" s="1" t="s">
        <v>3169</v>
      </c>
      <c r="B1549" s="2">
        <v>77</v>
      </c>
      <c r="C1549" s="3" t="str">
        <f>"011616037"</f>
        <v>011616037</v>
      </c>
      <c r="D1549" s="3" t="s">
        <v>1578</v>
      </c>
      <c r="E1549" s="3"/>
      <c r="F1549" s="3" t="s">
        <v>3149</v>
      </c>
      <c r="G1549" s="3">
        <v>1795.2</v>
      </c>
    </row>
    <row r="1550" spans="1:7" x14ac:dyDescent="0.25">
      <c r="A1550" s="1" t="s">
        <v>3169</v>
      </c>
      <c r="B1550" s="2">
        <v>77</v>
      </c>
      <c r="C1550" s="3" t="str">
        <f>"011616115"</f>
        <v>011616115</v>
      </c>
      <c r="D1550" s="3" t="s">
        <v>1498</v>
      </c>
      <c r="E1550" s="3" t="s">
        <v>3150</v>
      </c>
      <c r="F1550" s="3" t="s">
        <v>3151</v>
      </c>
      <c r="G1550" s="3">
        <v>2503.6</v>
      </c>
    </row>
    <row r="1551" spans="1:7" x14ac:dyDescent="0.25">
      <c r="A1551" s="1" t="s">
        <v>3169</v>
      </c>
      <c r="B1551" s="2">
        <v>77</v>
      </c>
      <c r="C1551" s="3" t="str">
        <f>"011616397"</f>
        <v>011616397</v>
      </c>
      <c r="D1551" s="3" t="s">
        <v>1578</v>
      </c>
      <c r="E1551" s="3"/>
      <c r="F1551" s="3" t="s">
        <v>3152</v>
      </c>
      <c r="G1551" s="3">
        <v>3.14</v>
      </c>
    </row>
    <row r="1552" spans="1:7" x14ac:dyDescent="0.25">
      <c r="A1552" s="1" t="s">
        <v>3169</v>
      </c>
      <c r="B1552" s="2">
        <v>77</v>
      </c>
      <c r="C1552" s="3" t="str">
        <f>"011616398"</f>
        <v>011616398</v>
      </c>
      <c r="D1552" s="3" t="s">
        <v>1578</v>
      </c>
      <c r="E1552" s="3"/>
      <c r="F1552" s="3" t="s">
        <v>3153</v>
      </c>
      <c r="G1552" s="3">
        <v>1.58</v>
      </c>
    </row>
    <row r="1553" spans="1:7" x14ac:dyDescent="0.25">
      <c r="A1553" s="1" t="s">
        <v>3169</v>
      </c>
      <c r="B1553" s="2">
        <v>77</v>
      </c>
      <c r="C1553" s="3" t="str">
        <f>"011616399"</f>
        <v>011616399</v>
      </c>
      <c r="D1553" s="3" t="s">
        <v>1578</v>
      </c>
      <c r="E1553" s="3"/>
      <c r="F1553" s="3" t="s">
        <v>3154</v>
      </c>
      <c r="G1553" s="3">
        <v>68.8</v>
      </c>
    </row>
    <row r="1554" spans="1:7" x14ac:dyDescent="0.25">
      <c r="A1554" s="1" t="s">
        <v>3169</v>
      </c>
      <c r="B1554" s="2">
        <v>77</v>
      </c>
      <c r="C1554" s="3" t="str">
        <f>"011616508"</f>
        <v>011616508</v>
      </c>
      <c r="D1554" s="3" t="s">
        <v>3155</v>
      </c>
      <c r="E1554" s="3" t="s">
        <v>3156</v>
      </c>
      <c r="F1554" s="3" t="s">
        <v>3157</v>
      </c>
      <c r="G1554" s="3">
        <v>12521.74</v>
      </c>
    </row>
    <row r="1555" spans="1:7" x14ac:dyDescent="0.25">
      <c r="A1555" s="1" t="s">
        <v>3169</v>
      </c>
      <c r="B1555" s="2">
        <v>77</v>
      </c>
      <c r="C1555" s="3" t="str">
        <f>"011616509"</f>
        <v>011616509</v>
      </c>
      <c r="D1555" s="3" t="s">
        <v>3155</v>
      </c>
      <c r="E1555" s="3" t="s">
        <v>3158</v>
      </c>
      <c r="F1555" s="3" t="s">
        <v>3159</v>
      </c>
      <c r="G1555" s="3">
        <v>14740.76</v>
      </c>
    </row>
    <row r="1556" spans="1:7" x14ac:dyDescent="0.25">
      <c r="A1556" s="1" t="s">
        <v>3169</v>
      </c>
      <c r="B1556" s="2">
        <v>77</v>
      </c>
      <c r="C1556" s="3" t="str">
        <f>"011616510"</f>
        <v>011616510</v>
      </c>
      <c r="D1556" s="3" t="s">
        <v>3155</v>
      </c>
      <c r="E1556" s="3" t="s">
        <v>3160</v>
      </c>
      <c r="F1556" s="3" t="s">
        <v>3161</v>
      </c>
      <c r="G1556" s="3">
        <v>10345.16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Carter</dc:creator>
  <cp:lastModifiedBy>Freitas, Anne</cp:lastModifiedBy>
  <dcterms:created xsi:type="dcterms:W3CDTF">2025-02-04T14:57:14Z</dcterms:created>
  <dcterms:modified xsi:type="dcterms:W3CDTF">2025-02-04T20:11:04Z</dcterms:modified>
</cp:coreProperties>
</file>